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680" windowHeight="14160" activeTab="1"/>
  </bookViews>
  <sheets>
    <sheet name="Exploitation" sheetId="5" r:id="rId1"/>
    <sheet name="ASA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123Graph_A91DUTTOG" hidden="1">'[1]Total Harvest'!$AJ$98:$AJ$113</definedName>
    <definedName name="__123Graph_AAGENO90" hidden="1">'[1]Total Harvest'!$Z$98:$Z$113</definedName>
    <definedName name="__123Graph_AAGEWT90" hidden="1">'[1]Total Harvest'!$AJ$98:$AJ$113</definedName>
    <definedName name="__123Graph_AAGEWT91" hidden="1">'[1]Total Harvest'!$Q$99:$Q$113</definedName>
    <definedName name="__123Graph_B" hidden="1">'[1]Total Harvest'!$O$11:$O$26</definedName>
    <definedName name="__123Graph_B91DUTTOG" hidden="1">'[1]Total Harvest'!$AD$98:$AD$113</definedName>
    <definedName name="__123Graph_B97AGECOM" hidden="1">'[1]Total Harvest'!$O$11:$O$26</definedName>
    <definedName name="__123Graph_BAGENO90" hidden="1">'[1]Total Harvest'!$U$98:$U$111</definedName>
    <definedName name="__123Graph_BAGEWT90" hidden="1">'[1]Total Harvest'!$AD$98:$AD$113</definedName>
    <definedName name="__123Graph_X" hidden="1">'[1]Total Harvest'!$S$11:$S$26</definedName>
    <definedName name="__123Graph_X91DUTTOG" hidden="1">'[1]Total Harvest'!$AH$98:$AH$113</definedName>
    <definedName name="__123Graph_X97AGECOM" hidden="1">'[1]Total Harvest'!$S$11:$S$26</definedName>
    <definedName name="__123Graph_XAGENO90" hidden="1">'[1]Total Harvest'!$V$98:$V$113</definedName>
    <definedName name="__123Graph_XAGEWT90" hidden="1">'[1]Total Harvest'!$AH$98:$AH$113</definedName>
    <definedName name="__123Graph_XAGEWT91" hidden="1">'[1]Total Harvest'!$AH$99:$AH$113</definedName>
    <definedName name="_scenchg_count" localSheetId="1" hidden="1">25</definedName>
    <definedName name="_scenchg1" localSheetId="1" hidden="1">ASA!$Q$215</definedName>
    <definedName name="_scenchg10" localSheetId="1" hidden="1">ASA!$Q$224</definedName>
    <definedName name="_scenchg11" localSheetId="1" hidden="1">ASA!$Q$225</definedName>
    <definedName name="_scenchg12" localSheetId="1" hidden="1">ASA!$Q$226</definedName>
    <definedName name="_scenchg13" localSheetId="1" hidden="1">ASA!$Q$227</definedName>
    <definedName name="_scenchg14" localSheetId="1" hidden="1">ASA!$Q$228</definedName>
    <definedName name="_scenchg15" localSheetId="1" hidden="1">ASA!$Q$229</definedName>
    <definedName name="_scenchg16" localSheetId="1" hidden="1">ASA!$R$215</definedName>
    <definedName name="_scenchg17" localSheetId="1" hidden="1">ASA!$S$215</definedName>
    <definedName name="_scenchg18" localSheetId="1" hidden="1">ASA!$T$215</definedName>
    <definedName name="_scenchg19" localSheetId="1" hidden="1">ASA!$U$215</definedName>
    <definedName name="_scenchg2" localSheetId="1" hidden="1">ASA!$Q$216</definedName>
    <definedName name="_scenchg20" localSheetId="1" hidden="1">ASA!$V$215</definedName>
    <definedName name="_scenchg21" localSheetId="1" hidden="1">ASA!$W$261</definedName>
    <definedName name="_scenchg22" localSheetId="1" hidden="1">ASA!$X$261</definedName>
    <definedName name="_scenchg23" localSheetId="1" hidden="1">ASA!$W$262</definedName>
    <definedName name="_scenchg24" localSheetId="1" hidden="1">ASA!$X$262</definedName>
    <definedName name="_scenchg25" localSheetId="1" hidden="1">ASA!$W$220</definedName>
    <definedName name="_scenchg3" localSheetId="1" hidden="1">ASA!$Q$217</definedName>
    <definedName name="_scenchg4" localSheetId="1" hidden="1">ASA!$Q$218</definedName>
    <definedName name="_scenchg5" localSheetId="1" hidden="1">ASA!$Q$219</definedName>
    <definedName name="_scenchg6" localSheetId="1" hidden="1">ASA!$Q$220</definedName>
    <definedName name="_scenchg7" localSheetId="1" hidden="1">ASA!$Q$221</definedName>
    <definedName name="_scenchg8" localSheetId="1" hidden="1">ASA!$Q$222</definedName>
    <definedName name="_scenchg9" localSheetId="1" hidden="1">ASA!$Q$223</definedName>
    <definedName name="cgn" hidden="1">{#N/A,#N/A,TRUE,"Table 14"}</definedName>
    <definedName name="first_age">ASA!$B$56</definedName>
    <definedName name="first_year">ASA!$A$57</definedName>
    <definedName name="Gillnet_AgeComp">[2]MatrixData!$Q$8:$AB$34</definedName>
    <definedName name="p" hidden="1">{#N/A,#N/A,TRUE,"Table 14"}</definedName>
    <definedName name="Run_AgeComp">[2]MatrixData!$B$80:$M$106</definedName>
    <definedName name="Run_AgeComp_Residuals">[2]MatrixData!$AG$80:$AR$106</definedName>
    <definedName name="Run_AgeComp_Residuals_Weighted">[2]MatrixData!$AW$80:$BH$106</definedName>
    <definedName name="Run_Est_Agecomp">[2]MatrixData!$Q$80:$AB$106</definedName>
    <definedName name="scen_change" localSheetId="1" hidden="1">ASA!$Q$215:$Q$229,ASA!$R$215:$V$215,ASA!$W$261:$X$263,ASA!$W$220</definedName>
    <definedName name="scen_result" localSheetId="1" hidden="1">ASA!$F$149:$G$150,ASA!$G$151:$H$151,ASA!$H$152:$I$152,ASA!$I$153:$J$153,ASA!$J$154:$K$154,ASA!$K$155:$L$155,ASA!$L$156:$M$164,ASA!$H$271</definedName>
    <definedName name="Seine_AgeComp">[2]MatrixData!$B$44:$M$72</definedName>
    <definedName name="Seine_AgeComp_Residuals">[2]MatrixData!$AG$44:$AR$70</definedName>
    <definedName name="Seine_AgeComp_Residuals_Weighted">[2]MatrixData!$AW$44:$BH$70</definedName>
    <definedName name="Seine_Est_AgeComp">[2]MatrixData!$Q$44:$AB$70</definedName>
    <definedName name="solver_adj" localSheetId="1" hidden="1">ASA!$Q$215:$Q$249,ASA!$R$215:$V$215,ASA!$W$261:$X$263,ASA!$H$220:$H$221</definedName>
    <definedName name="solver_cvg" localSheetId="1" hidden="1">0.001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9999</definedName>
    <definedName name="solver_lhs1" localSheetId="1" hidden="1">ASA!$C$181:$M$181</definedName>
    <definedName name="solver_lhs10" localSheetId="1" hidden="1">ASA!$K$155:$L$155</definedName>
    <definedName name="solver_lhs11" localSheetId="1" hidden="1">ASA!$H$152:$I$152</definedName>
    <definedName name="solver_lhs12" localSheetId="1" hidden="1">ASA!$B$290</definedName>
    <definedName name="solver_lhs13" localSheetId="1" hidden="1">ASA!$B$274</definedName>
    <definedName name="solver_lhs14" localSheetId="1" hidden="1">ASA!$F$149:$G$150</definedName>
    <definedName name="solver_lhs2" localSheetId="1" hidden="1">ASA!$H$220</definedName>
    <definedName name="solver_lhs3" localSheetId="1" hidden="1">ASA!$G$151:$H$151</definedName>
    <definedName name="solver_lhs4" localSheetId="1" hidden="1">ASA!$H$220</definedName>
    <definedName name="solver_lhs5" localSheetId="1" hidden="1">ASA!$I$153:$J$153</definedName>
    <definedName name="solver_lhs6" localSheetId="1" hidden="1">ASA!$L$180</definedName>
    <definedName name="solver_lhs7" localSheetId="1" hidden="1">ASA!$M$157:$M$180</definedName>
    <definedName name="solver_lhs8" localSheetId="1" hidden="1">ASA!$J$154:$K$154</definedName>
    <definedName name="solver_lhs9" localSheetId="1" hidden="1">ASA!$L$156:$L$180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14</definedName>
    <definedName name="solver_nwt" localSheetId="1" hidden="1">1</definedName>
    <definedName name="solver_opt" localSheetId="1" hidden="1">ASA!$F$202</definedName>
    <definedName name="solver_pre" localSheetId="1" hidden="1">0.00001</definedName>
    <definedName name="solver_rbv" localSheetId="1" hidden="1">1</definedName>
    <definedName name="solver_rel1" localSheetId="1" hidden="1">3</definedName>
    <definedName name="solver_rel10" localSheetId="1" hidden="1">3</definedName>
    <definedName name="solver_rel11" localSheetId="1" hidden="1">3</definedName>
    <definedName name="solver_rel12" localSheetId="1" hidden="1">3</definedName>
    <definedName name="solver_rel13" localSheetId="1" hidden="1">3</definedName>
    <definedName name="solver_rel14" localSheetId="1" hidden="1">3</definedName>
    <definedName name="solver_rel2" localSheetId="1" hidden="1">1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1" hidden="1">0</definedName>
    <definedName name="solver_rhs10" localSheetId="1" hidden="1">0</definedName>
    <definedName name="solver_rhs11" localSheetId="1" hidden="1">0</definedName>
    <definedName name="solver_rhs12" localSheetId="1" hidden="1">0.2</definedName>
    <definedName name="solver_rhs13" localSheetId="1" hidden="1">0.2</definedName>
    <definedName name="solver_rhs14" localSheetId="1" hidden="1">0</definedName>
    <definedName name="solver_rhs2" localSheetId="1" hidden="1">0.85</definedName>
    <definedName name="solver_rhs3" localSheetId="1" hidden="1">0</definedName>
    <definedName name="solver_rhs4" localSheetId="1" hidden="1">0.5</definedName>
    <definedName name="solver_rhs5" localSheetId="1" hidden="1">0</definedName>
    <definedName name="solver_rhs6" localSheetId="1" hidden="1">0</definedName>
    <definedName name="solver_rhs7" localSheetId="1" hidden="1">0</definedName>
    <definedName name="solver_rhs8" localSheetId="1" hidden="1">0</definedName>
    <definedName name="solver_rhs9" localSheetId="1" hidden="1">0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9999</definedName>
    <definedName name="solver_tmp" localSheetId="1" hidden="1">0.2</definedName>
    <definedName name="solver_tol" localSheetId="1" hidden="1">0.05</definedName>
    <definedName name="solver_typ" localSheetId="1" hidden="1">2</definedName>
    <definedName name="solver_val" localSheetId="1" hidden="1">0</definedName>
    <definedName name="solver_ver" localSheetId="1" hidden="1">3</definedName>
    <definedName name="wrn.tables." hidden="1">{#N/A,#N/A,TRUE,"Table 14"}</definedName>
  </definedNames>
  <calcPr calcId="145621"/>
</workbook>
</file>

<file path=xl/calcChain.xml><?xml version="1.0" encoding="utf-8"?>
<calcChain xmlns="http://schemas.openxmlformats.org/spreadsheetml/2006/main">
  <c r="AB50" i="4" l="1"/>
  <c r="AO152" i="4" l="1"/>
  <c r="AO153" i="4"/>
  <c r="AO154" i="4"/>
  <c r="AO155" i="4"/>
  <c r="AO156" i="4"/>
  <c r="AO157" i="4"/>
  <c r="AO158" i="4"/>
  <c r="AO159" i="4"/>
  <c r="AO160" i="4"/>
  <c r="AO161" i="4"/>
  <c r="AO162" i="4"/>
  <c r="AO163" i="4"/>
  <c r="AO164" i="4"/>
  <c r="AO165" i="4"/>
  <c r="AO166" i="4"/>
  <c r="AO167" i="4"/>
  <c r="AO168" i="4"/>
  <c r="AO169" i="4"/>
  <c r="AO170" i="4"/>
  <c r="AO171" i="4"/>
  <c r="AO172" i="4"/>
  <c r="AO173" i="4"/>
  <c r="AO174" i="4"/>
  <c r="AO175" i="4"/>
  <c r="AO176" i="4"/>
  <c r="AO177" i="4"/>
  <c r="AO178" i="4"/>
  <c r="AO179" i="4"/>
  <c r="AO180" i="4"/>
  <c r="AO181" i="4"/>
  <c r="AO182" i="4"/>
  <c r="AO183" i="4"/>
  <c r="AO184" i="4"/>
  <c r="AO185" i="4"/>
  <c r="AO186" i="4"/>
  <c r="AO187" i="4"/>
  <c r="AO188" i="4"/>
  <c r="AO151" i="4"/>
  <c r="AJ187" i="4"/>
  <c r="AJ171" i="4"/>
  <c r="AJ182" i="4"/>
  <c r="AJ175" i="4"/>
  <c r="AJ174" i="4"/>
  <c r="AJ173" i="4"/>
  <c r="AJ169" i="4"/>
  <c r="AJ167" i="4"/>
  <c r="AJ166" i="4"/>
  <c r="AC188" i="4" l="1"/>
  <c r="AD188" i="4" s="1"/>
  <c r="AC189" i="4"/>
  <c r="AD189" i="4" s="1"/>
  <c r="B188" i="4"/>
  <c r="B187" i="4"/>
  <c r="M96" i="4"/>
  <c r="L96" i="4"/>
  <c r="K96" i="4"/>
  <c r="J96" i="4"/>
  <c r="I96" i="4"/>
  <c r="H96" i="4"/>
  <c r="G96" i="4"/>
  <c r="F96" i="4"/>
  <c r="E96" i="4"/>
  <c r="D96" i="4"/>
  <c r="C96" i="4"/>
  <c r="B96" i="4"/>
  <c r="N95" i="4"/>
  <c r="N96" i="4"/>
  <c r="AB49" i="4" l="1"/>
  <c r="AA50" i="4"/>
  <c r="AA49" i="4" s="1"/>
  <c r="Z50" i="4"/>
  <c r="Z49" i="4" s="1"/>
  <c r="Y50" i="4"/>
  <c r="Y49" i="4" s="1"/>
  <c r="X50" i="4"/>
  <c r="X49" i="4" s="1"/>
  <c r="W50" i="4"/>
  <c r="W49" i="4" s="1"/>
  <c r="V50" i="4"/>
  <c r="V49" i="4" s="1"/>
  <c r="U50" i="4"/>
  <c r="U49" i="4" s="1"/>
  <c r="T50" i="4"/>
  <c r="T49" i="4" s="1"/>
  <c r="S50" i="4"/>
  <c r="S49" i="4" s="1"/>
  <c r="R50" i="4"/>
  <c r="R49" i="4" s="1"/>
  <c r="Q50" i="4"/>
  <c r="Q49" i="4" s="1"/>
  <c r="M50" i="4" l="1"/>
  <c r="L50" i="4"/>
  <c r="K50" i="4"/>
  <c r="J50" i="4"/>
  <c r="I50" i="4"/>
  <c r="H50" i="4"/>
  <c r="G50" i="4"/>
  <c r="F50" i="4"/>
  <c r="E50" i="4"/>
  <c r="D50" i="4"/>
  <c r="C50" i="4"/>
  <c r="B50" i="4"/>
  <c r="AJ188" i="4" l="1"/>
  <c r="M142" i="4"/>
  <c r="L142" i="4"/>
  <c r="K142" i="4"/>
  <c r="J142" i="4"/>
  <c r="I142" i="4"/>
  <c r="H142" i="4"/>
  <c r="G142" i="4"/>
  <c r="F142" i="4"/>
  <c r="E142" i="4"/>
  <c r="D142" i="4"/>
  <c r="C142" i="4"/>
  <c r="B142" i="4"/>
  <c r="N50" i="4"/>
  <c r="B252" i="4" l="1"/>
  <c r="B186" i="4" s="1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AK186" i="4"/>
  <c r="N140" i="4"/>
  <c r="AR94" i="4" l="1"/>
  <c r="O94" i="4"/>
  <c r="N94" i="4"/>
  <c r="N93" i="4"/>
  <c r="N48" i="4"/>
  <c r="N47" i="4"/>
  <c r="AK185" i="4" l="1"/>
  <c r="B185" i="4"/>
  <c r="N139" i="4"/>
  <c r="N138" i="4"/>
  <c r="O93" i="4" l="1"/>
  <c r="N46" i="4"/>
  <c r="J220" i="4" l="1"/>
  <c r="B184" i="4"/>
  <c r="AK184" i="4"/>
  <c r="O92" i="4"/>
  <c r="N92" i="4"/>
  <c r="N42" i="4"/>
  <c r="N91" i="4" l="1"/>
  <c r="B183" i="4" l="1"/>
  <c r="AK183" i="4"/>
  <c r="N137" i="4"/>
  <c r="O91" i="4"/>
  <c r="N45" i="4" l="1"/>
  <c r="B182" i="4" l="1"/>
  <c r="AK181" i="4"/>
  <c r="N90" i="4"/>
  <c r="O90" i="4"/>
  <c r="N44" i="4"/>
  <c r="B181" i="4"/>
  <c r="A306" i="4"/>
  <c r="A307" i="4"/>
  <c r="A308" i="4" s="1"/>
  <c r="A309" i="4" s="1"/>
  <c r="A310" i="4" s="1"/>
  <c r="A311" i="4" s="1"/>
  <c r="A312" i="4" s="1"/>
  <c r="N134" i="4"/>
  <c r="N135" i="4"/>
  <c r="AF89" i="4"/>
  <c r="AF90" i="4" s="1"/>
  <c r="AF91" i="4" s="1"/>
  <c r="AF92" i="4" s="1"/>
  <c r="AF93" i="4" s="1"/>
  <c r="AF94" i="4" s="1"/>
  <c r="O89" i="4"/>
  <c r="N89" i="4"/>
  <c r="N43" i="4"/>
  <c r="B180" i="4"/>
  <c r="B177" i="4"/>
  <c r="B178" i="4"/>
  <c r="B179" i="4"/>
  <c r="I263" i="4"/>
  <c r="H263" i="4"/>
  <c r="B267" i="4"/>
  <c r="I261" i="4"/>
  <c r="H261" i="4"/>
  <c r="B268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C215" i="4"/>
  <c r="C149" i="4" s="1"/>
  <c r="D215" i="4"/>
  <c r="D149" i="4" s="1"/>
  <c r="E215" i="4"/>
  <c r="E149" i="4" s="1"/>
  <c r="F215" i="4"/>
  <c r="F149" i="4" s="1"/>
  <c r="G215" i="4"/>
  <c r="G149" i="4" s="1"/>
  <c r="V149" i="4" s="1"/>
  <c r="C268" i="4"/>
  <c r="D268" i="4"/>
  <c r="E268" i="4"/>
  <c r="I262" i="4"/>
  <c r="H262" i="4"/>
  <c r="AK154" i="4"/>
  <c r="B25" i="4"/>
  <c r="C25" i="4"/>
  <c r="D25" i="4"/>
  <c r="E25" i="4"/>
  <c r="F25" i="4"/>
  <c r="G25" i="4"/>
  <c r="H25" i="4"/>
  <c r="I25" i="4"/>
  <c r="J25" i="4"/>
  <c r="L25" i="4"/>
  <c r="M25" i="4"/>
  <c r="M26" i="4"/>
  <c r="AK165" i="4"/>
  <c r="AJ165" i="4" s="1"/>
  <c r="N74" i="4"/>
  <c r="C28" i="4"/>
  <c r="E28" i="4"/>
  <c r="F28" i="4"/>
  <c r="G28" i="4"/>
  <c r="H28" i="4"/>
  <c r="I28" i="4"/>
  <c r="J28" i="4"/>
  <c r="K28" i="4"/>
  <c r="L28" i="4"/>
  <c r="M28" i="4"/>
  <c r="N75" i="4"/>
  <c r="AK168" i="4"/>
  <c r="N76" i="4"/>
  <c r="N77" i="4"/>
  <c r="AK170" i="4"/>
  <c r="N78" i="4"/>
  <c r="AK171" i="4"/>
  <c r="N79" i="4"/>
  <c r="B33" i="4"/>
  <c r="C33" i="4"/>
  <c r="D33" i="4"/>
  <c r="E33" i="4"/>
  <c r="F33" i="4"/>
  <c r="M33" i="4"/>
  <c r="AK172" i="4"/>
  <c r="N80" i="4"/>
  <c r="N81" i="4"/>
  <c r="N82" i="4"/>
  <c r="N83" i="4"/>
  <c r="AK176" i="4"/>
  <c r="N84" i="4"/>
  <c r="AK177" i="4"/>
  <c r="AK178" i="4"/>
  <c r="N86" i="4"/>
  <c r="AK179" i="4"/>
  <c r="N87" i="4"/>
  <c r="AK180" i="4"/>
  <c r="N88" i="4"/>
  <c r="L118" i="4"/>
  <c r="M118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B74" i="4"/>
  <c r="C74" i="4"/>
  <c r="D74" i="4"/>
  <c r="E74" i="4"/>
  <c r="F74" i="4"/>
  <c r="G74" i="4"/>
  <c r="H74" i="4"/>
  <c r="O74" i="4" s="1"/>
  <c r="I74" i="4"/>
  <c r="J74" i="4"/>
  <c r="K74" i="4"/>
  <c r="L74" i="4"/>
  <c r="M74" i="4"/>
  <c r="B75" i="4"/>
  <c r="C75" i="4"/>
  <c r="D75" i="4"/>
  <c r="E75" i="4"/>
  <c r="F75" i="4"/>
  <c r="G75" i="4"/>
  <c r="H75" i="4"/>
  <c r="I75" i="4"/>
  <c r="J75" i="4"/>
  <c r="K75" i="4"/>
  <c r="L75" i="4"/>
  <c r="M75" i="4"/>
  <c r="B77" i="4"/>
  <c r="C77" i="4"/>
  <c r="D77" i="4"/>
  <c r="E77" i="4"/>
  <c r="F77" i="4"/>
  <c r="G77" i="4"/>
  <c r="H77" i="4"/>
  <c r="I77" i="4"/>
  <c r="J77" i="4"/>
  <c r="K77" i="4"/>
  <c r="L77" i="4"/>
  <c r="M77" i="4"/>
  <c r="C78" i="4"/>
  <c r="D78" i="4"/>
  <c r="E78" i="4"/>
  <c r="F78" i="4"/>
  <c r="G78" i="4"/>
  <c r="H78" i="4"/>
  <c r="I78" i="4"/>
  <c r="J78" i="4"/>
  <c r="K78" i="4"/>
  <c r="L78" i="4"/>
  <c r="M78" i="4"/>
  <c r="O88" i="4"/>
  <c r="O87" i="4"/>
  <c r="N117" i="4"/>
  <c r="N119" i="4"/>
  <c r="N122" i="4"/>
  <c r="N124" i="4"/>
  <c r="N126" i="4"/>
  <c r="N130" i="4"/>
  <c r="N131" i="4"/>
  <c r="N132" i="4"/>
  <c r="N133" i="4"/>
  <c r="O65" i="4"/>
  <c r="O66" i="4"/>
  <c r="O67" i="4"/>
  <c r="O68" i="4"/>
  <c r="O69" i="4"/>
  <c r="O70" i="4"/>
  <c r="O71" i="4"/>
  <c r="O72" i="4"/>
  <c r="O73" i="4"/>
  <c r="O76" i="4"/>
  <c r="O79" i="4"/>
  <c r="O80" i="4"/>
  <c r="O81" i="4"/>
  <c r="O82" i="4"/>
  <c r="O83" i="4"/>
  <c r="O84" i="4"/>
  <c r="O85" i="4"/>
  <c r="O86" i="4"/>
  <c r="O64" i="4"/>
  <c r="N40" i="4"/>
  <c r="N39" i="4"/>
  <c r="B53" i="4"/>
  <c r="B10" i="4"/>
  <c r="C10" i="4" s="1"/>
  <c r="D10" i="4" s="1"/>
  <c r="E10" i="4" s="1"/>
  <c r="F10" i="4" s="1"/>
  <c r="G10" i="4" s="1"/>
  <c r="H10" i="4" s="1"/>
  <c r="I10" i="4" s="1"/>
  <c r="J10" i="4" s="1"/>
  <c r="K10" i="4" s="1"/>
  <c r="L10" i="4" s="1"/>
  <c r="M10" i="4" s="1"/>
  <c r="Q10" i="4"/>
  <c r="C56" i="4"/>
  <c r="D56" i="4" s="1"/>
  <c r="AB10" i="4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P11" i="4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N27" i="4"/>
  <c r="N29" i="4"/>
  <c r="N30" i="4"/>
  <c r="N31" i="4"/>
  <c r="N32" i="4"/>
  <c r="N34" i="4"/>
  <c r="N35" i="4"/>
  <c r="N36" i="4"/>
  <c r="N37" i="4"/>
  <c r="N38" i="4"/>
  <c r="Q56" i="4"/>
  <c r="R56" i="4" s="1"/>
  <c r="S56" i="4" s="1"/>
  <c r="T56" i="4" s="1"/>
  <c r="U56" i="4" s="1"/>
  <c r="V56" i="4" s="1"/>
  <c r="W56" i="4" s="1"/>
  <c r="X56" i="4" s="1"/>
  <c r="Y56" i="4" s="1"/>
  <c r="Z56" i="4" s="1"/>
  <c r="AA56" i="4" s="1"/>
  <c r="AB56" i="4" s="1"/>
  <c r="AG56" i="4"/>
  <c r="AH56" i="4" s="1"/>
  <c r="AI56" i="4" s="1"/>
  <c r="AJ56" i="4" s="1"/>
  <c r="AK56" i="4" s="1"/>
  <c r="AL56" i="4" s="1"/>
  <c r="AM56" i="4" s="1"/>
  <c r="AN56" i="4" s="1"/>
  <c r="AO56" i="4" s="1"/>
  <c r="AP56" i="4" s="1"/>
  <c r="AQ56" i="4" s="1"/>
  <c r="AR56" i="4" s="1"/>
  <c r="P57" i="4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AF57" i="4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58" i="4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B102" i="4"/>
  <c r="C102" i="4" s="1"/>
  <c r="D102" i="4" s="1"/>
  <c r="E102" i="4" s="1"/>
  <c r="F102" i="4" s="1"/>
  <c r="G102" i="4" s="1"/>
  <c r="H102" i="4" s="1"/>
  <c r="I102" i="4" s="1"/>
  <c r="J102" i="4" s="1"/>
  <c r="K102" i="4" s="1"/>
  <c r="L102" i="4" s="1"/>
  <c r="M102" i="4" s="1"/>
  <c r="Q102" i="4"/>
  <c r="R102" i="4" s="1"/>
  <c r="S102" i="4" s="1"/>
  <c r="T102" i="4" s="1"/>
  <c r="U102" i="4" s="1"/>
  <c r="V102" i="4" s="1"/>
  <c r="W102" i="4" s="1"/>
  <c r="X102" i="4" s="1"/>
  <c r="Y102" i="4" s="1"/>
  <c r="Z102" i="4" s="1"/>
  <c r="AA102" i="4" s="1"/>
  <c r="AB102" i="4" s="1"/>
  <c r="AG102" i="4"/>
  <c r="AH102" i="4" s="1"/>
  <c r="AI102" i="4" s="1"/>
  <c r="AJ102" i="4" s="1"/>
  <c r="AK102" i="4" s="1"/>
  <c r="AL102" i="4" s="1"/>
  <c r="AM102" i="4" s="1"/>
  <c r="AN102" i="4" s="1"/>
  <c r="AO102" i="4" s="1"/>
  <c r="AP102" i="4" s="1"/>
  <c r="AQ102" i="4" s="1"/>
  <c r="AR102" i="4" s="1"/>
  <c r="A103" i="4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P103" i="4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AF103" i="4"/>
  <c r="AF104" i="4" s="1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F121" i="4" s="1"/>
  <c r="AF122" i="4" s="1"/>
  <c r="N110" i="4"/>
  <c r="N111" i="4"/>
  <c r="N112" i="4"/>
  <c r="N113" i="4"/>
  <c r="N114" i="4"/>
  <c r="N115" i="4"/>
  <c r="N116" i="4"/>
  <c r="B147" i="4"/>
  <c r="C147" i="4" s="1"/>
  <c r="D147" i="4" s="1"/>
  <c r="E147" i="4" s="1"/>
  <c r="F147" i="4" s="1"/>
  <c r="G147" i="4" s="1"/>
  <c r="H147" i="4" s="1"/>
  <c r="I147" i="4" s="1"/>
  <c r="J147" i="4" s="1"/>
  <c r="K147" i="4" s="1"/>
  <c r="L147" i="4" s="1"/>
  <c r="M147" i="4" s="1"/>
  <c r="Q147" i="4"/>
  <c r="R147" i="4" s="1"/>
  <c r="S147" i="4" s="1"/>
  <c r="T147" i="4" s="1"/>
  <c r="U147" i="4" s="1"/>
  <c r="V147" i="4" s="1"/>
  <c r="W147" i="4" s="1"/>
  <c r="X147" i="4" s="1"/>
  <c r="Y147" i="4" s="1"/>
  <c r="Z147" i="4" s="1"/>
  <c r="AA147" i="4" s="1"/>
  <c r="AB147" i="4" s="1"/>
  <c r="A149" i="4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P149" i="4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AI149" i="4"/>
  <c r="AI148" i="4" s="1"/>
  <c r="AJ159" i="4"/>
  <c r="AJ160" i="4"/>
  <c r="AJ161" i="4"/>
  <c r="AJ162" i="4"/>
  <c r="AJ163" i="4"/>
  <c r="AJ164" i="4"/>
  <c r="B214" i="4"/>
  <c r="C214" i="4" s="1"/>
  <c r="D214" i="4" s="1"/>
  <c r="E214" i="4" s="1"/>
  <c r="F214" i="4" s="1"/>
  <c r="G214" i="4" s="1"/>
  <c r="H214" i="4" s="1"/>
  <c r="I214" i="4" s="1"/>
  <c r="J214" i="4" s="1"/>
  <c r="K214" i="4" s="1"/>
  <c r="L214" i="4" s="1"/>
  <c r="M214" i="4" s="1"/>
  <c r="A215" i="4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74" i="4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B189" i="4" l="1"/>
  <c r="N28" i="4"/>
  <c r="O75" i="4"/>
  <c r="B311" i="4"/>
  <c r="Q186" i="4" s="1"/>
  <c r="B312" i="4"/>
  <c r="N120" i="4"/>
  <c r="O78" i="4"/>
  <c r="O77" i="4"/>
  <c r="N118" i="4"/>
  <c r="N33" i="4"/>
  <c r="E56" i="4"/>
  <c r="S10" i="4"/>
  <c r="R10" i="4"/>
  <c r="B310" i="4"/>
  <c r="Q185" i="4" s="1"/>
  <c r="P148" i="4"/>
  <c r="B274" i="4"/>
  <c r="Q149" i="4" s="1"/>
  <c r="C148" i="4"/>
  <c r="B308" i="4"/>
  <c r="Q183" i="4" s="1"/>
  <c r="D148" i="4"/>
  <c r="B148" i="4"/>
  <c r="B293" i="4"/>
  <c r="Q168" i="4" s="1"/>
  <c r="B277" i="4"/>
  <c r="Q152" i="4" s="1"/>
  <c r="B295" i="4"/>
  <c r="Q170" i="4" s="1"/>
  <c r="E148" i="4"/>
  <c r="U149" i="4"/>
  <c r="B271" i="4"/>
  <c r="B309" i="4"/>
  <c r="Q184" i="4" s="1"/>
  <c r="B276" i="4"/>
  <c r="Q151" i="4" s="1"/>
  <c r="B306" i="4"/>
  <c r="Q181" i="4" s="1"/>
  <c r="B298" i="4"/>
  <c r="Q173" i="4" s="1"/>
  <c r="B283" i="4"/>
  <c r="Q158" i="4" s="1"/>
  <c r="B297" i="4"/>
  <c r="Q172" i="4" s="1"/>
  <c r="B294" i="4"/>
  <c r="Q169" i="4" s="1"/>
  <c r="B284" i="4"/>
  <c r="Q159" i="4" s="1"/>
  <c r="B280" i="4"/>
  <c r="Q155" i="4" s="1"/>
  <c r="B299" i="4"/>
  <c r="Q174" i="4" s="1"/>
  <c r="B304" i="4"/>
  <c r="Q179" i="4" s="1"/>
  <c r="AI150" i="4"/>
  <c r="AI151" i="4" s="1"/>
  <c r="AI152" i="4" s="1"/>
  <c r="AI153" i="4" s="1"/>
  <c r="AI154" i="4" s="1"/>
  <c r="AI155" i="4" s="1"/>
  <c r="AI156" i="4" s="1"/>
  <c r="AI157" i="4" s="1"/>
  <c r="AI158" i="4" s="1"/>
  <c r="AI159" i="4" s="1"/>
  <c r="AI160" i="4" s="1"/>
  <c r="AI161" i="4" s="1"/>
  <c r="AI162" i="4" s="1"/>
  <c r="AI163" i="4" s="1"/>
  <c r="AI164" i="4" s="1"/>
  <c r="AI165" i="4" s="1"/>
  <c r="AI166" i="4" s="1"/>
  <c r="AI167" i="4" s="1"/>
  <c r="AI168" i="4" s="1"/>
  <c r="B300" i="4"/>
  <c r="Q175" i="4" s="1"/>
  <c r="B281" i="4"/>
  <c r="Q156" i="4" s="1"/>
  <c r="B288" i="4"/>
  <c r="Q163" i="4" s="1"/>
  <c r="B292" i="4"/>
  <c r="Q167" i="4" s="1"/>
  <c r="B290" i="4"/>
  <c r="B301" i="4"/>
  <c r="Q176" i="4" s="1"/>
  <c r="B303" i="4"/>
  <c r="Q178" i="4" s="1"/>
  <c r="B282" i="4"/>
  <c r="Q157" i="4" s="1"/>
  <c r="B279" i="4"/>
  <c r="Q154" i="4" s="1"/>
  <c r="B286" i="4"/>
  <c r="Q161" i="4" s="1"/>
  <c r="B291" i="4"/>
  <c r="Q166" i="4" s="1"/>
  <c r="B296" i="4"/>
  <c r="Q171" i="4" s="1"/>
  <c r="B289" i="4"/>
  <c r="Q164" i="4" s="1"/>
  <c r="B302" i="4"/>
  <c r="Q177" i="4" s="1"/>
  <c r="B305" i="4"/>
  <c r="Q180" i="4" s="1"/>
  <c r="B278" i="4"/>
  <c r="Q153" i="4" s="1"/>
  <c r="A148" i="4"/>
  <c r="C267" i="4"/>
  <c r="B285" i="4"/>
  <c r="B287" i="4"/>
  <c r="B275" i="4"/>
  <c r="B307" i="4"/>
  <c r="Q182" i="4" s="1"/>
  <c r="Q187" i="4" l="1"/>
  <c r="C311" i="4"/>
  <c r="C312" i="4"/>
  <c r="T10" i="4"/>
  <c r="F56" i="4"/>
  <c r="C309" i="4"/>
  <c r="C310" i="4"/>
  <c r="Q165" i="4"/>
  <c r="Q148" i="4"/>
  <c r="Q160" i="4"/>
  <c r="C280" i="4"/>
  <c r="C286" i="4"/>
  <c r="C276" i="4"/>
  <c r="C277" i="4"/>
  <c r="C300" i="4"/>
  <c r="C275" i="4"/>
  <c r="C296" i="4"/>
  <c r="C282" i="4"/>
  <c r="C305" i="4"/>
  <c r="C278" i="4"/>
  <c r="D267" i="4"/>
  <c r="C295" i="4"/>
  <c r="C271" i="4"/>
  <c r="C290" i="4"/>
  <c r="C303" i="4"/>
  <c r="C293" i="4"/>
  <c r="C291" i="4"/>
  <c r="C302" i="4"/>
  <c r="C292" i="4"/>
  <c r="C297" i="4"/>
  <c r="C307" i="4"/>
  <c r="C283" i="4"/>
  <c r="C274" i="4"/>
  <c r="C279" i="4"/>
  <c r="C301" i="4"/>
  <c r="C288" i="4"/>
  <c r="C287" i="4"/>
  <c r="C281" i="4"/>
  <c r="C304" i="4"/>
  <c r="C306" i="4"/>
  <c r="C299" i="4"/>
  <c r="C298" i="4"/>
  <c r="C284" i="4"/>
  <c r="C308" i="4"/>
  <c r="C285" i="4"/>
  <c r="C289" i="4"/>
  <c r="C294" i="4"/>
  <c r="Q150" i="4"/>
  <c r="Q162" i="4"/>
  <c r="Q194" i="4" l="1"/>
  <c r="Q197" i="4" s="1"/>
  <c r="D311" i="4"/>
  <c r="D312" i="4"/>
  <c r="U10" i="4"/>
  <c r="G56" i="4"/>
  <c r="D309" i="4"/>
  <c r="D310" i="4"/>
  <c r="R148" i="4"/>
  <c r="R149" i="4"/>
  <c r="D303" i="4"/>
  <c r="D276" i="4"/>
  <c r="D280" i="4"/>
  <c r="D301" i="4"/>
  <c r="D307" i="4"/>
  <c r="D274" i="4"/>
  <c r="D277" i="4"/>
  <c r="D286" i="4"/>
  <c r="D282" i="4"/>
  <c r="D306" i="4"/>
  <c r="D284" i="4"/>
  <c r="D285" i="4"/>
  <c r="D299" i="4"/>
  <c r="D304" i="4"/>
  <c r="D271" i="4"/>
  <c r="D288" i="4"/>
  <c r="D289" i="4"/>
  <c r="D308" i="4"/>
  <c r="D278" i="4"/>
  <c r="D283" i="4"/>
  <c r="D294" i="4"/>
  <c r="D279" i="4"/>
  <c r="D298" i="4"/>
  <c r="D281" i="4"/>
  <c r="D296" i="4"/>
  <c r="D290" i="4"/>
  <c r="D300" i="4"/>
  <c r="D297" i="4"/>
  <c r="D302" i="4"/>
  <c r="E267" i="4"/>
  <c r="D287" i="4"/>
  <c r="D293" i="4"/>
  <c r="D295" i="4"/>
  <c r="D305" i="4"/>
  <c r="D291" i="4"/>
  <c r="D292" i="4"/>
  <c r="D275" i="4"/>
  <c r="E311" i="4" l="1"/>
  <c r="E312" i="4"/>
  <c r="H56" i="4"/>
  <c r="V10" i="4"/>
  <c r="E309" i="4"/>
  <c r="E310" i="4"/>
  <c r="E302" i="4"/>
  <c r="E288" i="4"/>
  <c r="E300" i="4"/>
  <c r="E290" i="4"/>
  <c r="E281" i="4"/>
  <c r="E292" i="4"/>
  <c r="E304" i="4"/>
  <c r="E299" i="4"/>
  <c r="E296" i="4"/>
  <c r="E305" i="4"/>
  <c r="E301" i="4"/>
  <c r="F267" i="4"/>
  <c r="E287" i="4"/>
  <c r="E283" i="4"/>
  <c r="E307" i="4"/>
  <c r="E295" i="4"/>
  <c r="E293" i="4"/>
  <c r="E279" i="4"/>
  <c r="E297" i="4"/>
  <c r="E294" i="4"/>
  <c r="E284" i="4"/>
  <c r="E282" i="4"/>
  <c r="E275" i="4"/>
  <c r="E306" i="4"/>
  <c r="E303" i="4"/>
  <c r="E274" i="4"/>
  <c r="E278" i="4"/>
  <c r="E276" i="4"/>
  <c r="E271" i="4"/>
  <c r="E286" i="4"/>
  <c r="E277" i="4"/>
  <c r="E291" i="4"/>
  <c r="E280" i="4"/>
  <c r="E285" i="4"/>
  <c r="E289" i="4"/>
  <c r="E308" i="4"/>
  <c r="E298" i="4"/>
  <c r="S149" i="4"/>
  <c r="S148" i="4"/>
  <c r="W10" i="4" l="1"/>
  <c r="I56" i="4"/>
  <c r="T148" i="4"/>
  <c r="T149" i="4"/>
  <c r="AC149" i="4" s="1"/>
  <c r="AD149" i="4" s="1"/>
  <c r="AC103" i="4"/>
  <c r="T103" i="4" s="1"/>
  <c r="F271" i="4"/>
  <c r="F268" i="4"/>
  <c r="G267" i="4"/>
  <c r="J56" i="4" l="1"/>
  <c r="X10" i="4"/>
  <c r="H267" i="4"/>
  <c r="G268" i="4"/>
  <c r="F148" i="4"/>
  <c r="U148" i="4" s="1"/>
  <c r="AC148" i="4" s="1"/>
  <c r="AD148" i="4" s="1"/>
  <c r="AC57" i="4"/>
  <c r="U57" i="4" s="1"/>
  <c r="Q103" i="4"/>
  <c r="V103" i="4"/>
  <c r="U103" i="4"/>
  <c r="R103" i="4"/>
  <c r="S103" i="4"/>
  <c r="Y10" i="4" l="1"/>
  <c r="K56" i="4"/>
  <c r="H268" i="4"/>
  <c r="I267" i="4"/>
  <c r="Q57" i="4"/>
  <c r="V57" i="4"/>
  <c r="R57" i="4"/>
  <c r="S57" i="4"/>
  <c r="T57" i="4"/>
  <c r="L56" i="4" l="1"/>
  <c r="AA10" i="4" s="1"/>
  <c r="Z10" i="4"/>
  <c r="AD57" i="4"/>
  <c r="G150" i="4" s="1"/>
  <c r="I268" i="4"/>
  <c r="J267" i="4"/>
  <c r="F150" i="4" l="1"/>
  <c r="U150" i="4" s="1"/>
  <c r="E150" i="4"/>
  <c r="T150" i="4" s="1"/>
  <c r="D150" i="4"/>
  <c r="S150" i="4" s="1"/>
  <c r="C150" i="4"/>
  <c r="J268" i="4"/>
  <c r="K267" i="4"/>
  <c r="V150" i="4"/>
  <c r="AC104" i="4" l="1"/>
  <c r="Q104" i="4" s="1"/>
  <c r="R150" i="4"/>
  <c r="AC150" i="4" s="1"/>
  <c r="AD150" i="4" s="1"/>
  <c r="AC58" i="4"/>
  <c r="U58" i="4" s="1"/>
  <c r="K268" i="4"/>
  <c r="L267" i="4"/>
  <c r="T104" i="4" l="1"/>
  <c r="S104" i="4"/>
  <c r="U104" i="4"/>
  <c r="V104" i="4"/>
  <c r="R104" i="4"/>
  <c r="Q58" i="4"/>
  <c r="S58" i="4"/>
  <c r="T58" i="4"/>
  <c r="R58" i="4"/>
  <c r="V58" i="4"/>
  <c r="M267" i="4"/>
  <c r="M268" i="4" s="1"/>
  <c r="J221" i="4" s="1"/>
  <c r="L268" i="4"/>
  <c r="AD58" i="4" l="1"/>
  <c r="E151" i="4" s="1"/>
  <c r="C151" i="4" l="1"/>
  <c r="R151" i="4" s="1"/>
  <c r="H151" i="4"/>
  <c r="W151" i="4" s="1"/>
  <c r="F151" i="4"/>
  <c r="U151" i="4" s="1"/>
  <c r="G151" i="4"/>
  <c r="V151" i="4" s="1"/>
  <c r="D151" i="4"/>
  <c r="S151" i="4" s="1"/>
  <c r="T151" i="4"/>
  <c r="AC105" i="4" l="1"/>
  <c r="Q105" i="4" s="1"/>
  <c r="AG105" i="4" s="1"/>
  <c r="AC59" i="4"/>
  <c r="Q59" i="4" s="1"/>
  <c r="AG59" i="4" s="1"/>
  <c r="AC151" i="4"/>
  <c r="AD151" i="4" s="1"/>
  <c r="T105" i="4" l="1"/>
  <c r="AJ105" i="4" s="1"/>
  <c r="V105" i="4"/>
  <c r="AL105" i="4" s="1"/>
  <c r="R105" i="4"/>
  <c r="AH105" i="4" s="1"/>
  <c r="W105" i="4"/>
  <c r="AM105" i="4" s="1"/>
  <c r="U105" i="4"/>
  <c r="AK105" i="4" s="1"/>
  <c r="V59" i="4"/>
  <c r="AL59" i="4" s="1"/>
  <c r="U59" i="4"/>
  <c r="AK59" i="4" s="1"/>
  <c r="S105" i="4"/>
  <c r="AI105" i="4" s="1"/>
  <c r="S59" i="4"/>
  <c r="AI59" i="4" s="1"/>
  <c r="W59" i="4"/>
  <c r="AM59" i="4" s="1"/>
  <c r="T59" i="4"/>
  <c r="AJ59" i="4" s="1"/>
  <c r="R59" i="4"/>
  <c r="AH59" i="4" s="1"/>
  <c r="AS105" i="4" l="1"/>
  <c r="AD59" i="4"/>
  <c r="C152" i="4" s="1"/>
  <c r="R152" i="4" s="1"/>
  <c r="AS59" i="4"/>
  <c r="H152" i="4" l="1"/>
  <c r="W152" i="4" s="1"/>
  <c r="G152" i="4"/>
  <c r="V152" i="4" s="1"/>
  <c r="I152" i="4"/>
  <c r="X152" i="4" s="1"/>
  <c r="F152" i="4"/>
  <c r="U152" i="4" s="1"/>
  <c r="D152" i="4"/>
  <c r="E152" i="4"/>
  <c r="T152" i="4" s="1"/>
  <c r="AC60" i="4" l="1"/>
  <c r="R60" i="4" s="1"/>
  <c r="AH60" i="4" s="1"/>
  <c r="S152" i="4"/>
  <c r="AC152" i="4" s="1"/>
  <c r="AM152" i="4" s="1"/>
  <c r="AC106" i="4"/>
  <c r="R106" i="4" s="1"/>
  <c r="AH106" i="4" s="1"/>
  <c r="V60" i="4" l="1"/>
  <c r="AL60" i="4" s="1"/>
  <c r="U60" i="4"/>
  <c r="AK60" i="4" s="1"/>
  <c r="X60" i="4"/>
  <c r="AN60" i="4" s="1"/>
  <c r="T60" i="4"/>
  <c r="AJ60" i="4" s="1"/>
  <c r="Q60" i="4"/>
  <c r="AG60" i="4" s="1"/>
  <c r="S60" i="4"/>
  <c r="AI60" i="4" s="1"/>
  <c r="W60" i="4"/>
  <c r="AM60" i="4" s="1"/>
  <c r="W106" i="4"/>
  <c r="AM106" i="4" s="1"/>
  <c r="T106" i="4"/>
  <c r="AJ106" i="4" s="1"/>
  <c r="X106" i="4"/>
  <c r="AN106" i="4" s="1"/>
  <c r="U106" i="4"/>
  <c r="AK106" i="4" s="1"/>
  <c r="S106" i="4"/>
  <c r="AI106" i="4" s="1"/>
  <c r="Q106" i="4"/>
  <c r="AG106" i="4" s="1"/>
  <c r="V106" i="4"/>
  <c r="AL106" i="4" s="1"/>
  <c r="AL152" i="4"/>
  <c r="AD152" i="4"/>
  <c r="AN152" i="4"/>
  <c r="AS60" i="4" l="1"/>
  <c r="AD60" i="4"/>
  <c r="I153" i="4" s="1"/>
  <c r="X153" i="4" s="1"/>
  <c r="AS106" i="4"/>
  <c r="H153" i="4" l="1"/>
  <c r="W153" i="4" s="1"/>
  <c r="D153" i="4"/>
  <c r="S153" i="4" s="1"/>
  <c r="F153" i="4"/>
  <c r="U153" i="4" s="1"/>
  <c r="J153" i="4"/>
  <c r="Y153" i="4" s="1"/>
  <c r="G153" i="4"/>
  <c r="V153" i="4" s="1"/>
  <c r="E153" i="4"/>
  <c r="T153" i="4" s="1"/>
  <c r="C153" i="4"/>
  <c r="R153" i="4" s="1"/>
  <c r="AC107" i="4" l="1"/>
  <c r="T107" i="4" s="1"/>
  <c r="AJ107" i="4" s="1"/>
  <c r="AC153" i="4"/>
  <c r="AD153" i="4" s="1"/>
  <c r="AC61" i="4"/>
  <c r="V61" i="4" s="1"/>
  <c r="AL61" i="4" s="1"/>
  <c r="Q107" i="4" l="1"/>
  <c r="AG107" i="4" s="1"/>
  <c r="S107" i="4"/>
  <c r="AI107" i="4" s="1"/>
  <c r="T61" i="4"/>
  <c r="AJ61" i="4" s="1"/>
  <c r="W107" i="4"/>
  <c r="AM107" i="4" s="1"/>
  <c r="X61" i="4"/>
  <c r="AN61" i="4" s="1"/>
  <c r="Y107" i="4"/>
  <c r="AO107" i="4" s="1"/>
  <c r="R107" i="4"/>
  <c r="AH107" i="4" s="1"/>
  <c r="X107" i="4"/>
  <c r="AN107" i="4" s="1"/>
  <c r="V107" i="4"/>
  <c r="AL107" i="4" s="1"/>
  <c r="U107" i="4"/>
  <c r="AK107" i="4" s="1"/>
  <c r="W61" i="4"/>
  <c r="AM61" i="4" s="1"/>
  <c r="U61" i="4"/>
  <c r="AK61" i="4" s="1"/>
  <c r="Y61" i="4"/>
  <c r="AO61" i="4" s="1"/>
  <c r="S61" i="4"/>
  <c r="AI61" i="4" s="1"/>
  <c r="Q61" i="4"/>
  <c r="AG61" i="4" s="1"/>
  <c r="R61" i="4"/>
  <c r="AH61" i="4" s="1"/>
  <c r="AS107" i="4" l="1"/>
  <c r="AS61" i="4"/>
  <c r="AD61" i="4"/>
  <c r="H154" i="4" s="1"/>
  <c r="W154" i="4" s="1"/>
  <c r="K154" i="4" l="1"/>
  <c r="Z154" i="4" s="1"/>
  <c r="I154" i="4"/>
  <c r="X154" i="4" s="1"/>
  <c r="F154" i="4"/>
  <c r="U154" i="4" s="1"/>
  <c r="C154" i="4"/>
  <c r="R154" i="4" s="1"/>
  <c r="G154" i="4"/>
  <c r="V154" i="4" s="1"/>
  <c r="J154" i="4"/>
  <c r="Y154" i="4" s="1"/>
  <c r="D154" i="4"/>
  <c r="S154" i="4" s="1"/>
  <c r="E154" i="4"/>
  <c r="T154" i="4" s="1"/>
  <c r="AC154" i="4" l="1"/>
  <c r="AL154" i="4" s="1"/>
  <c r="AC108" i="4"/>
  <c r="V108" i="4" s="1"/>
  <c r="AL108" i="4" s="1"/>
  <c r="AC62" i="4"/>
  <c r="V62" i="4" s="1"/>
  <c r="AL62" i="4" s="1"/>
  <c r="AM154" i="4" l="1"/>
  <c r="AD154" i="4"/>
  <c r="S62" i="4"/>
  <c r="AI62" i="4" s="1"/>
  <c r="S108" i="4"/>
  <c r="AI108" i="4" s="1"/>
  <c r="T62" i="4"/>
  <c r="AJ62" i="4" s="1"/>
  <c r="Z108" i="4"/>
  <c r="AP108" i="4" s="1"/>
  <c r="R62" i="4"/>
  <c r="AH62" i="4" s="1"/>
  <c r="Z62" i="4"/>
  <c r="AP62" i="4" s="1"/>
  <c r="X62" i="4"/>
  <c r="AN62" i="4" s="1"/>
  <c r="R108" i="4"/>
  <c r="AH108" i="4" s="1"/>
  <c r="X108" i="4"/>
  <c r="AN108" i="4" s="1"/>
  <c r="Y108" i="4"/>
  <c r="AO108" i="4" s="1"/>
  <c r="U108" i="4"/>
  <c r="AK108" i="4" s="1"/>
  <c r="Q108" i="4"/>
  <c r="AG108" i="4" s="1"/>
  <c r="T108" i="4"/>
  <c r="AJ108" i="4" s="1"/>
  <c r="W108" i="4"/>
  <c r="AM108" i="4" s="1"/>
  <c r="U62" i="4"/>
  <c r="AK62" i="4" s="1"/>
  <c r="Q62" i="4"/>
  <c r="W62" i="4"/>
  <c r="AM62" i="4" s="1"/>
  <c r="Y62" i="4"/>
  <c r="AO62" i="4" s="1"/>
  <c r="AN154" i="4" l="1"/>
  <c r="AS108" i="4"/>
  <c r="AG62" i="4"/>
  <c r="AS62" i="4" s="1"/>
  <c r="AD62" i="4"/>
  <c r="D155" i="4" l="1"/>
  <c r="S155" i="4" s="1"/>
  <c r="J155" i="4"/>
  <c r="Y155" i="4" s="1"/>
  <c r="E155" i="4"/>
  <c r="T155" i="4" s="1"/>
  <c r="F155" i="4"/>
  <c r="U155" i="4" s="1"/>
  <c r="K155" i="4"/>
  <c r="Z155" i="4" s="1"/>
  <c r="L155" i="4"/>
  <c r="AA155" i="4" s="1"/>
  <c r="C155" i="4"/>
  <c r="H155" i="4"/>
  <c r="W155" i="4" s="1"/>
  <c r="G155" i="4"/>
  <c r="V155" i="4" s="1"/>
  <c r="I155" i="4"/>
  <c r="X155" i="4" s="1"/>
  <c r="R155" i="4" l="1"/>
  <c r="AC155" i="4" s="1"/>
  <c r="AD155" i="4" s="1"/>
  <c r="AC63" i="4"/>
  <c r="Z63" i="4" s="1"/>
  <c r="AP63" i="4" s="1"/>
  <c r="AC109" i="4"/>
  <c r="V109" i="4" s="1"/>
  <c r="AL109" i="4" s="1"/>
  <c r="S109" i="4" l="1"/>
  <c r="AI109" i="4" s="1"/>
  <c r="W63" i="4"/>
  <c r="AM63" i="4" s="1"/>
  <c r="V63" i="4"/>
  <c r="AL63" i="4" s="1"/>
  <c r="W109" i="4"/>
  <c r="AM109" i="4" s="1"/>
  <c r="X109" i="4"/>
  <c r="AN109" i="4" s="1"/>
  <c r="U109" i="4"/>
  <c r="AK109" i="4" s="1"/>
  <c r="R109" i="4"/>
  <c r="AH109" i="4" s="1"/>
  <c r="T109" i="4"/>
  <c r="AJ109" i="4" s="1"/>
  <c r="AA109" i="4"/>
  <c r="AQ109" i="4" s="1"/>
  <c r="Y109" i="4"/>
  <c r="AO109" i="4" s="1"/>
  <c r="Q109" i="4"/>
  <c r="AG109" i="4" s="1"/>
  <c r="AA63" i="4"/>
  <c r="AQ63" i="4" s="1"/>
  <c r="X63" i="4"/>
  <c r="AN63" i="4" s="1"/>
  <c r="Y63" i="4"/>
  <c r="AO63" i="4" s="1"/>
  <c r="Q63" i="4"/>
  <c r="R63" i="4"/>
  <c r="AH63" i="4" s="1"/>
  <c r="U63" i="4"/>
  <c r="AK63" i="4" s="1"/>
  <c r="S63" i="4"/>
  <c r="AI63" i="4" s="1"/>
  <c r="T63" i="4"/>
  <c r="AJ63" i="4" s="1"/>
  <c r="Z109" i="4"/>
  <c r="AP109" i="4" s="1"/>
  <c r="AS109" i="4" l="1"/>
  <c r="AG63" i="4"/>
  <c r="AS63" i="4" s="1"/>
  <c r="AD63" i="4"/>
  <c r="M156" i="4" s="1"/>
  <c r="AB156" i="4" s="1"/>
  <c r="K156" i="4" l="1"/>
  <c r="Z156" i="4" s="1"/>
  <c r="J156" i="4"/>
  <c r="Y156" i="4" s="1"/>
  <c r="E156" i="4"/>
  <c r="T156" i="4" s="1"/>
  <c r="G156" i="4"/>
  <c r="V156" i="4" s="1"/>
  <c r="H156" i="4"/>
  <c r="W156" i="4" s="1"/>
  <c r="I156" i="4"/>
  <c r="X156" i="4" s="1"/>
  <c r="C156" i="4"/>
  <c r="L156" i="4"/>
  <c r="AA156" i="4" s="1"/>
  <c r="D156" i="4"/>
  <c r="S156" i="4" s="1"/>
  <c r="F156" i="4"/>
  <c r="U156" i="4" s="1"/>
  <c r="AC110" i="4" l="1"/>
  <c r="V110" i="4" s="1"/>
  <c r="AL110" i="4" s="1"/>
  <c r="AC64" i="4"/>
  <c r="X64" i="4" s="1"/>
  <c r="AN64" i="4" s="1"/>
  <c r="N156" i="4"/>
  <c r="O156" i="4" s="1"/>
  <c r="R156" i="4"/>
  <c r="AC156" i="4" s="1"/>
  <c r="AD156" i="4" s="1"/>
  <c r="Y110" i="4" l="1"/>
  <c r="AO110" i="4" s="1"/>
  <c r="U64" i="4"/>
  <c r="AK64" i="4" s="1"/>
  <c r="W64" i="4"/>
  <c r="AM64" i="4" s="1"/>
  <c r="T64" i="4"/>
  <c r="AJ64" i="4" s="1"/>
  <c r="AA64" i="4"/>
  <c r="AQ64" i="4" s="1"/>
  <c r="AB64" i="4"/>
  <c r="AR64" i="4" s="1"/>
  <c r="Z64" i="4"/>
  <c r="AP64" i="4" s="1"/>
  <c r="S64" i="4"/>
  <c r="AI64" i="4" s="1"/>
  <c r="R64" i="4"/>
  <c r="AH64" i="4" s="1"/>
  <c r="V64" i="4"/>
  <c r="Q64" i="4"/>
  <c r="Y64" i="4"/>
  <c r="AO64" i="4" s="1"/>
  <c r="U110" i="4"/>
  <c r="AK110" i="4" s="1"/>
  <c r="Z110" i="4"/>
  <c r="AP110" i="4" s="1"/>
  <c r="S110" i="4"/>
  <c r="AI110" i="4" s="1"/>
  <c r="R110" i="4"/>
  <c r="AH110" i="4" s="1"/>
  <c r="T110" i="4"/>
  <c r="AJ110" i="4" s="1"/>
  <c r="W110" i="4"/>
  <c r="AM110" i="4" s="1"/>
  <c r="AA110" i="4"/>
  <c r="AQ110" i="4" s="1"/>
  <c r="Q110" i="4"/>
  <c r="AG110" i="4" s="1"/>
  <c r="AB110" i="4"/>
  <c r="AR110" i="4" s="1"/>
  <c r="X110" i="4"/>
  <c r="AN110" i="4" s="1"/>
  <c r="AS110" i="4" l="1"/>
  <c r="AG64" i="4"/>
  <c r="AD64" i="4"/>
  <c r="AD110" i="4"/>
  <c r="AE110" i="4" s="1"/>
  <c r="AL64" i="4"/>
  <c r="AE64" i="4"/>
  <c r="E157" i="4" l="1"/>
  <c r="T157" i="4" s="1"/>
  <c r="F157" i="4"/>
  <c r="U157" i="4" s="1"/>
  <c r="M157" i="4"/>
  <c r="AB157" i="4" s="1"/>
  <c r="K157" i="4"/>
  <c r="Z157" i="4" s="1"/>
  <c r="H157" i="4"/>
  <c r="W157" i="4" s="1"/>
  <c r="J157" i="4"/>
  <c r="Y157" i="4" s="1"/>
  <c r="G157" i="4"/>
  <c r="V157" i="4" s="1"/>
  <c r="L157" i="4"/>
  <c r="AA157" i="4" s="1"/>
  <c r="C157" i="4"/>
  <c r="AS64" i="4"/>
  <c r="D157" i="4"/>
  <c r="S157" i="4" s="1"/>
  <c r="I157" i="4"/>
  <c r="X157" i="4" s="1"/>
  <c r="AC65" i="4" l="1"/>
  <c r="AC111" i="4"/>
  <c r="X111" i="4" s="1"/>
  <c r="AN111" i="4" s="1"/>
  <c r="N157" i="4"/>
  <c r="O157" i="4" s="1"/>
  <c r="R157" i="4"/>
  <c r="AC157" i="4" s="1"/>
  <c r="AD157" i="4" s="1"/>
  <c r="T111" i="4" l="1"/>
  <c r="AJ111" i="4" s="1"/>
  <c r="Z111" i="4"/>
  <c r="AP111" i="4" s="1"/>
  <c r="W111" i="4"/>
  <c r="AM111" i="4" s="1"/>
  <c r="R111" i="4"/>
  <c r="AH111" i="4" s="1"/>
  <c r="Q65" i="4"/>
  <c r="V65" i="4"/>
  <c r="Z65" i="4"/>
  <c r="AP65" i="4" s="1"/>
  <c r="Y65" i="4"/>
  <c r="AO65" i="4" s="1"/>
  <c r="S65" i="4"/>
  <c r="AI65" i="4" s="1"/>
  <c r="AB65" i="4"/>
  <c r="AR65" i="4" s="1"/>
  <c r="U65" i="4"/>
  <c r="AK65" i="4" s="1"/>
  <c r="W65" i="4"/>
  <c r="AM65" i="4" s="1"/>
  <c r="T65" i="4"/>
  <c r="AJ65" i="4" s="1"/>
  <c r="AA65" i="4"/>
  <c r="AQ65" i="4" s="1"/>
  <c r="R65" i="4"/>
  <c r="AH65" i="4" s="1"/>
  <c r="X65" i="4"/>
  <c r="AN65" i="4" s="1"/>
  <c r="Q111" i="4"/>
  <c r="AG111" i="4" s="1"/>
  <c r="U111" i="4"/>
  <c r="AK111" i="4" s="1"/>
  <c r="Y111" i="4"/>
  <c r="AO111" i="4" s="1"/>
  <c r="AA111" i="4"/>
  <c r="AQ111" i="4" s="1"/>
  <c r="S111" i="4"/>
  <c r="AI111" i="4" s="1"/>
  <c r="V111" i="4"/>
  <c r="AB111" i="4"/>
  <c r="AR111" i="4" s="1"/>
  <c r="AG65" i="4" l="1"/>
  <c r="AD65" i="4"/>
  <c r="E158" i="4" s="1"/>
  <c r="T158" i="4" s="1"/>
  <c r="AL111" i="4"/>
  <c r="AS111" i="4" s="1"/>
  <c r="AD111" i="4"/>
  <c r="AE111" i="4" s="1"/>
  <c r="AL65" i="4"/>
  <c r="AE65" i="4"/>
  <c r="C158" i="4" l="1"/>
  <c r="D158" i="4"/>
  <c r="S158" i="4" s="1"/>
  <c r="M158" i="4"/>
  <c r="AB158" i="4" s="1"/>
  <c r="G158" i="4"/>
  <c r="V158" i="4" s="1"/>
  <c r="J158" i="4"/>
  <c r="Y158" i="4" s="1"/>
  <c r="H158" i="4"/>
  <c r="W158" i="4" s="1"/>
  <c r="L158" i="4"/>
  <c r="AA158" i="4" s="1"/>
  <c r="F158" i="4"/>
  <c r="U158" i="4" s="1"/>
  <c r="K158" i="4"/>
  <c r="Z158" i="4" s="1"/>
  <c r="I158" i="4"/>
  <c r="X158" i="4" s="1"/>
  <c r="AS65" i="4"/>
  <c r="R158" i="4" l="1"/>
  <c r="AC158" i="4" s="1"/>
  <c r="AD158" i="4" s="1"/>
  <c r="N158" i="4"/>
  <c r="O158" i="4" s="1"/>
  <c r="AC112" i="4"/>
  <c r="S112" i="4" s="1"/>
  <c r="AI112" i="4" s="1"/>
  <c r="AC66" i="4"/>
  <c r="Y66" i="4" s="1"/>
  <c r="AO66" i="4" s="1"/>
  <c r="R112" i="4" l="1"/>
  <c r="AH112" i="4" s="1"/>
  <c r="AB112" i="4"/>
  <c r="AR112" i="4" s="1"/>
  <c r="V112" i="4"/>
  <c r="Q112" i="4"/>
  <c r="AG112" i="4" s="1"/>
  <c r="AA112" i="4"/>
  <c r="AQ112" i="4" s="1"/>
  <c r="T112" i="4"/>
  <c r="AJ112" i="4" s="1"/>
  <c r="U112" i="4"/>
  <c r="AK112" i="4" s="1"/>
  <c r="X112" i="4"/>
  <c r="AN112" i="4" s="1"/>
  <c r="Y112" i="4"/>
  <c r="AO112" i="4" s="1"/>
  <c r="Z112" i="4"/>
  <c r="AP112" i="4" s="1"/>
  <c r="W112" i="4"/>
  <c r="AM112" i="4" s="1"/>
  <c r="R66" i="4"/>
  <c r="AH66" i="4" s="1"/>
  <c r="T66" i="4"/>
  <c r="AJ66" i="4" s="1"/>
  <c r="U66" i="4"/>
  <c r="AK66" i="4" s="1"/>
  <c r="S66" i="4"/>
  <c r="AI66" i="4" s="1"/>
  <c r="Z66" i="4"/>
  <c r="AP66" i="4" s="1"/>
  <c r="X66" i="4"/>
  <c r="AN66" i="4" s="1"/>
  <c r="Q66" i="4"/>
  <c r="AA66" i="4"/>
  <c r="AQ66" i="4" s="1"/>
  <c r="V66" i="4"/>
  <c r="AB66" i="4"/>
  <c r="AR66" i="4" s="1"/>
  <c r="W66" i="4"/>
  <c r="AM66" i="4" s="1"/>
  <c r="AG66" i="4" l="1"/>
  <c r="AD66" i="4"/>
  <c r="E159" i="4" s="1"/>
  <c r="T159" i="4" s="1"/>
  <c r="AL112" i="4"/>
  <c r="AS112" i="4" s="1"/>
  <c r="AD112" i="4"/>
  <c r="AE112" i="4" s="1"/>
  <c r="AL66" i="4"/>
  <c r="AE66" i="4"/>
  <c r="G159" i="4" l="1"/>
  <c r="V159" i="4" s="1"/>
  <c r="M159" i="4"/>
  <c r="AB159" i="4" s="1"/>
  <c r="I159" i="4"/>
  <c r="X159" i="4" s="1"/>
  <c r="J159" i="4"/>
  <c r="Y159" i="4" s="1"/>
  <c r="H159" i="4"/>
  <c r="W159" i="4" s="1"/>
  <c r="D159" i="4"/>
  <c r="S159" i="4" s="1"/>
  <c r="F159" i="4"/>
  <c r="U159" i="4" s="1"/>
  <c r="K159" i="4"/>
  <c r="Z159" i="4" s="1"/>
  <c r="C159" i="4"/>
  <c r="L159" i="4"/>
  <c r="AA159" i="4" s="1"/>
  <c r="AS66" i="4"/>
  <c r="R159" i="4" l="1"/>
  <c r="AC159" i="4" s="1"/>
  <c r="AD159" i="4" s="1"/>
  <c r="AC113" i="4"/>
  <c r="S113" i="4" s="1"/>
  <c r="AI113" i="4" s="1"/>
  <c r="N159" i="4"/>
  <c r="O159" i="4" s="1"/>
  <c r="AC67" i="4"/>
  <c r="Y67" i="4" s="1"/>
  <c r="AO67" i="4" s="1"/>
  <c r="Z67" i="4" l="1"/>
  <c r="AP67" i="4" s="1"/>
  <c r="W113" i="4"/>
  <c r="AM113" i="4" s="1"/>
  <c r="Z113" i="4"/>
  <c r="AP113" i="4" s="1"/>
  <c r="R113" i="4"/>
  <c r="AH113" i="4" s="1"/>
  <c r="W67" i="4"/>
  <c r="AM67" i="4" s="1"/>
  <c r="U67" i="4"/>
  <c r="AK67" i="4" s="1"/>
  <c r="V67" i="4"/>
  <c r="S67" i="4"/>
  <c r="AI67" i="4" s="1"/>
  <c r="T67" i="4"/>
  <c r="AJ67" i="4" s="1"/>
  <c r="AB67" i="4"/>
  <c r="AR67" i="4" s="1"/>
  <c r="AA67" i="4"/>
  <c r="AQ67" i="4" s="1"/>
  <c r="Q67" i="4"/>
  <c r="X67" i="4"/>
  <c r="AN67" i="4" s="1"/>
  <c r="AA113" i="4"/>
  <c r="AQ113" i="4" s="1"/>
  <c r="X113" i="4"/>
  <c r="AN113" i="4" s="1"/>
  <c r="Q113" i="4"/>
  <c r="AG113" i="4" s="1"/>
  <c r="AB113" i="4"/>
  <c r="AR113" i="4" s="1"/>
  <c r="T113" i="4"/>
  <c r="AJ113" i="4" s="1"/>
  <c r="V113" i="4"/>
  <c r="U113" i="4"/>
  <c r="AK113" i="4" s="1"/>
  <c r="Y113" i="4"/>
  <c r="AO113" i="4" s="1"/>
  <c r="R67" i="4"/>
  <c r="AH67" i="4" s="1"/>
  <c r="AL113" i="4" l="1"/>
  <c r="AS113" i="4" s="1"/>
  <c r="AD113" i="4"/>
  <c r="AE113" i="4" s="1"/>
  <c r="AL67" i="4"/>
  <c r="AE67" i="4"/>
  <c r="AG67" i="4"/>
  <c r="AD67" i="4"/>
  <c r="F160" i="4" s="1"/>
  <c r="U160" i="4" s="1"/>
  <c r="I160" i="4" l="1"/>
  <c r="X160" i="4" s="1"/>
  <c r="AS67" i="4"/>
  <c r="K160" i="4"/>
  <c r="Z160" i="4" s="1"/>
  <c r="C160" i="4"/>
  <c r="M160" i="4"/>
  <c r="AB160" i="4" s="1"/>
  <c r="L160" i="4"/>
  <c r="AA160" i="4" s="1"/>
  <c r="G160" i="4"/>
  <c r="V160" i="4" s="1"/>
  <c r="H160" i="4"/>
  <c r="W160" i="4" s="1"/>
  <c r="E160" i="4"/>
  <c r="T160" i="4" s="1"/>
  <c r="D160" i="4"/>
  <c r="S160" i="4" s="1"/>
  <c r="J160" i="4"/>
  <c r="Y160" i="4" s="1"/>
  <c r="R160" i="4" l="1"/>
  <c r="AC160" i="4" s="1"/>
  <c r="AD160" i="4" s="1"/>
  <c r="N160" i="4"/>
  <c r="O160" i="4" s="1"/>
  <c r="AC114" i="4"/>
  <c r="Y114" i="4" s="1"/>
  <c r="AO114" i="4" s="1"/>
  <c r="AC68" i="4"/>
  <c r="S68" i="4" s="1"/>
  <c r="AI68" i="4" s="1"/>
  <c r="Z114" i="4" l="1"/>
  <c r="AP114" i="4" s="1"/>
  <c r="Z68" i="4"/>
  <c r="AP68" i="4" s="1"/>
  <c r="V68" i="4"/>
  <c r="AL68" i="4" s="1"/>
  <c r="U68" i="4"/>
  <c r="AK68" i="4" s="1"/>
  <c r="AB68" i="4"/>
  <c r="AR68" i="4" s="1"/>
  <c r="R68" i="4"/>
  <c r="AH68" i="4" s="1"/>
  <c r="AA68" i="4"/>
  <c r="AQ68" i="4" s="1"/>
  <c r="T68" i="4"/>
  <c r="AJ68" i="4" s="1"/>
  <c r="X68" i="4"/>
  <c r="AN68" i="4" s="1"/>
  <c r="Q68" i="4"/>
  <c r="W68" i="4"/>
  <c r="AM68" i="4" s="1"/>
  <c r="V114" i="4"/>
  <c r="Q114" i="4"/>
  <c r="AG114" i="4" s="1"/>
  <c r="W114" i="4"/>
  <c r="AM114" i="4" s="1"/>
  <c r="R114" i="4"/>
  <c r="AH114" i="4" s="1"/>
  <c r="AB114" i="4"/>
  <c r="AR114" i="4" s="1"/>
  <c r="AA114" i="4"/>
  <c r="AQ114" i="4" s="1"/>
  <c r="X114" i="4"/>
  <c r="AN114" i="4" s="1"/>
  <c r="T114" i="4"/>
  <c r="AJ114" i="4" s="1"/>
  <c r="U114" i="4"/>
  <c r="AK114" i="4" s="1"/>
  <c r="Y68" i="4"/>
  <c r="AO68" i="4" s="1"/>
  <c r="S114" i="4"/>
  <c r="AI114" i="4" s="1"/>
  <c r="AG68" i="4" l="1"/>
  <c r="AS68" i="4" s="1"/>
  <c r="AD68" i="4"/>
  <c r="M161" i="4" s="1"/>
  <c r="AB161" i="4" s="1"/>
  <c r="AE68" i="4"/>
  <c r="AL114" i="4"/>
  <c r="AS114" i="4" s="1"/>
  <c r="AD114" i="4"/>
  <c r="AE114" i="4" s="1"/>
  <c r="D161" i="4" l="1"/>
  <c r="S161" i="4" s="1"/>
  <c r="H161" i="4"/>
  <c r="W161" i="4" s="1"/>
  <c r="F161" i="4"/>
  <c r="U161" i="4" s="1"/>
  <c r="E161" i="4"/>
  <c r="T161" i="4" s="1"/>
  <c r="J161" i="4"/>
  <c r="Y161" i="4" s="1"/>
  <c r="G161" i="4"/>
  <c r="V161" i="4" s="1"/>
  <c r="K161" i="4"/>
  <c r="Z161" i="4" s="1"/>
  <c r="C161" i="4"/>
  <c r="I161" i="4"/>
  <c r="X161" i="4" s="1"/>
  <c r="L161" i="4"/>
  <c r="AA161" i="4" s="1"/>
  <c r="R161" i="4" l="1"/>
  <c r="AC161" i="4" s="1"/>
  <c r="AD161" i="4" s="1"/>
  <c r="AC115" i="4"/>
  <c r="V115" i="4" s="1"/>
  <c r="AC69" i="4"/>
  <c r="AA69" i="4" s="1"/>
  <c r="AQ69" i="4" s="1"/>
  <c r="N161" i="4"/>
  <c r="O161" i="4" s="1"/>
  <c r="V69" i="4" l="1"/>
  <c r="AL69" i="4" s="1"/>
  <c r="W69" i="4"/>
  <c r="AM69" i="4" s="1"/>
  <c r="AL115" i="4"/>
  <c r="AA115" i="4"/>
  <c r="AQ115" i="4" s="1"/>
  <c r="AB115" i="4"/>
  <c r="AR115" i="4" s="1"/>
  <c r="Q115" i="4"/>
  <c r="AG115" i="4" s="1"/>
  <c r="Z115" i="4"/>
  <c r="AP115" i="4" s="1"/>
  <c r="S115" i="4"/>
  <c r="AI115" i="4" s="1"/>
  <c r="R115" i="4"/>
  <c r="AH115" i="4" s="1"/>
  <c r="Y115" i="4"/>
  <c r="AO115" i="4" s="1"/>
  <c r="U115" i="4"/>
  <c r="AK115" i="4" s="1"/>
  <c r="T115" i="4"/>
  <c r="AJ115" i="4" s="1"/>
  <c r="W115" i="4"/>
  <c r="AM115" i="4" s="1"/>
  <c r="Z69" i="4"/>
  <c r="AP69" i="4" s="1"/>
  <c r="U69" i="4"/>
  <c r="AK69" i="4" s="1"/>
  <c r="AB69" i="4"/>
  <c r="AR69" i="4" s="1"/>
  <c r="T69" i="4"/>
  <c r="AJ69" i="4" s="1"/>
  <c r="S69" i="4"/>
  <c r="AI69" i="4" s="1"/>
  <c r="X69" i="4"/>
  <c r="AN69" i="4" s="1"/>
  <c r="R69" i="4"/>
  <c r="AH69" i="4" s="1"/>
  <c r="Q69" i="4"/>
  <c r="Y69" i="4"/>
  <c r="AO69" i="4" s="1"/>
  <c r="X115" i="4"/>
  <c r="AN115" i="4" s="1"/>
  <c r="AS115" i="4" l="1"/>
  <c r="AE69" i="4"/>
  <c r="AD115" i="4"/>
  <c r="AE115" i="4" s="1"/>
  <c r="AG69" i="4"/>
  <c r="AS69" i="4" s="1"/>
  <c r="AD69" i="4"/>
  <c r="E162" i="4" l="1"/>
  <c r="H162" i="4"/>
  <c r="W162" i="4" s="1"/>
  <c r="F162" i="4"/>
  <c r="U162" i="4" s="1"/>
  <c r="D162" i="4"/>
  <c r="G162" i="4"/>
  <c r="V162" i="4" s="1"/>
  <c r="J162" i="4"/>
  <c r="Y162" i="4" s="1"/>
  <c r="I162" i="4"/>
  <c r="M162" i="4"/>
  <c r="AB162" i="4" s="1"/>
  <c r="K162" i="4"/>
  <c r="Z162" i="4" s="1"/>
  <c r="L162" i="4"/>
  <c r="AA162" i="4" s="1"/>
  <c r="C162" i="4"/>
  <c r="T162" i="4" l="1"/>
  <c r="S162" i="4"/>
  <c r="N162" i="4"/>
  <c r="O162" i="4" s="1"/>
  <c r="AC116" i="4"/>
  <c r="W116" i="4" s="1"/>
  <c r="AM116" i="4" s="1"/>
  <c r="AC70" i="4"/>
  <c r="T70" i="4" s="1"/>
  <c r="AJ70" i="4" s="1"/>
  <c r="R162" i="4"/>
  <c r="X162" i="4"/>
  <c r="W70" i="4" l="1"/>
  <c r="AM70" i="4" s="1"/>
  <c r="X70" i="4"/>
  <c r="AN70" i="4" s="1"/>
  <c r="S70" i="4"/>
  <c r="AI70" i="4" s="1"/>
  <c r="Y116" i="4"/>
  <c r="AO116" i="4" s="1"/>
  <c r="V116" i="4"/>
  <c r="AC162" i="4"/>
  <c r="AD162" i="4" s="1"/>
  <c r="R70" i="4"/>
  <c r="Q116" i="4"/>
  <c r="AG116" i="4" s="1"/>
  <c r="R116" i="4"/>
  <c r="AH116" i="4" s="1"/>
  <c r="X116" i="4"/>
  <c r="AN116" i="4" s="1"/>
  <c r="AB116" i="4"/>
  <c r="AR116" i="4" s="1"/>
  <c r="Z116" i="4"/>
  <c r="AP116" i="4" s="1"/>
  <c r="U116" i="4"/>
  <c r="AK116" i="4" s="1"/>
  <c r="S116" i="4"/>
  <c r="AI116" i="4" s="1"/>
  <c r="T116" i="4"/>
  <c r="AJ116" i="4" s="1"/>
  <c r="AA116" i="4"/>
  <c r="AQ116" i="4" s="1"/>
  <c r="Q70" i="4"/>
  <c r="Z70" i="4"/>
  <c r="AP70" i="4" s="1"/>
  <c r="Y70" i="4"/>
  <c r="AB70" i="4"/>
  <c r="AR70" i="4" s="1"/>
  <c r="U70" i="4"/>
  <c r="V70" i="4"/>
  <c r="AA70" i="4"/>
  <c r="AQ70" i="4" s="1"/>
  <c r="AG70" i="4" l="1"/>
  <c r="AD70" i="4"/>
  <c r="D163" i="4" s="1"/>
  <c r="S163" i="4" s="1"/>
  <c r="AO70" i="4"/>
  <c r="AH70" i="4"/>
  <c r="AK70" i="4"/>
  <c r="AL116" i="4"/>
  <c r="AS116" i="4" s="1"/>
  <c r="AD116" i="4"/>
  <c r="AE116" i="4" s="1"/>
  <c r="AL70" i="4"/>
  <c r="AE70" i="4"/>
  <c r="K163" i="4" l="1"/>
  <c r="Z163" i="4" s="1"/>
  <c r="AS70" i="4"/>
  <c r="G163" i="4"/>
  <c r="V163" i="4" s="1"/>
  <c r="I163" i="4"/>
  <c r="X163" i="4" s="1"/>
  <c r="E163" i="4"/>
  <c r="H163" i="4"/>
  <c r="W163" i="4" s="1"/>
  <c r="F163" i="4"/>
  <c r="U163" i="4" s="1"/>
  <c r="L163" i="4"/>
  <c r="AA163" i="4" s="1"/>
  <c r="J163" i="4"/>
  <c r="M163" i="4"/>
  <c r="AB163" i="4" s="1"/>
  <c r="C163" i="4"/>
  <c r="Y163" i="4" l="1"/>
  <c r="R163" i="4"/>
  <c r="AC71" i="4"/>
  <c r="N163" i="4"/>
  <c r="O163" i="4" s="1"/>
  <c r="AC117" i="4"/>
  <c r="T117" i="4" s="1"/>
  <c r="AJ117" i="4" s="1"/>
  <c r="T163" i="4"/>
  <c r="Y117" i="4" l="1"/>
  <c r="AO117" i="4" s="1"/>
  <c r="AA117" i="4"/>
  <c r="AQ117" i="4" s="1"/>
  <c r="V71" i="4"/>
  <c r="R71" i="4"/>
  <c r="AH71" i="4" s="1"/>
  <c r="AB71" i="4"/>
  <c r="AR71" i="4" s="1"/>
  <c r="AA71" i="4"/>
  <c r="AQ71" i="4" s="1"/>
  <c r="Q71" i="4"/>
  <c r="U71" i="4"/>
  <c r="AK71" i="4" s="1"/>
  <c r="Z71" i="4"/>
  <c r="AP71" i="4" s="1"/>
  <c r="S71" i="4"/>
  <c r="AI71" i="4" s="1"/>
  <c r="W71" i="4"/>
  <c r="AM71" i="4" s="1"/>
  <c r="Y71" i="4"/>
  <c r="AO71" i="4" s="1"/>
  <c r="AC163" i="4"/>
  <c r="Q117" i="4"/>
  <c r="AG117" i="4" s="1"/>
  <c r="AB117" i="4"/>
  <c r="AR117" i="4" s="1"/>
  <c r="U117" i="4"/>
  <c r="AK117" i="4" s="1"/>
  <c r="R117" i="4"/>
  <c r="AH117" i="4" s="1"/>
  <c r="W117" i="4"/>
  <c r="AM117" i="4" s="1"/>
  <c r="Z117" i="4"/>
  <c r="AP117" i="4" s="1"/>
  <c r="V117" i="4"/>
  <c r="S117" i="4"/>
  <c r="AI117" i="4" s="1"/>
  <c r="X71" i="4"/>
  <c r="AN71" i="4" s="1"/>
  <c r="T71" i="4"/>
  <c r="AJ71" i="4" s="1"/>
  <c r="X117" i="4"/>
  <c r="AN117" i="4" s="1"/>
  <c r="AL117" i="4" l="1"/>
  <c r="AS117" i="4" s="1"/>
  <c r="AD117" i="4"/>
  <c r="AE117" i="4" s="1"/>
  <c r="AL71" i="4"/>
  <c r="AE71" i="4"/>
  <c r="AG71" i="4"/>
  <c r="AD71" i="4"/>
  <c r="AM163" i="4"/>
  <c r="AD163" i="4"/>
  <c r="AL163" i="4"/>
  <c r="AN163" i="4" l="1"/>
  <c r="AS71" i="4"/>
  <c r="J164" i="4"/>
  <c r="Y164" i="4" s="1"/>
  <c r="M164" i="4"/>
  <c r="AB164" i="4" s="1"/>
  <c r="E164" i="4"/>
  <c r="T164" i="4" s="1"/>
  <c r="L164" i="4"/>
  <c r="AA164" i="4" s="1"/>
  <c r="I164" i="4"/>
  <c r="X164" i="4" s="1"/>
  <c r="D164" i="4"/>
  <c r="S164" i="4" s="1"/>
  <c r="G164" i="4"/>
  <c r="V164" i="4" s="1"/>
  <c r="F164" i="4"/>
  <c r="U164" i="4" s="1"/>
  <c r="H164" i="4"/>
  <c r="W164" i="4" s="1"/>
  <c r="C164" i="4"/>
  <c r="K164" i="4"/>
  <c r="Z164" i="4" s="1"/>
  <c r="N164" i="4" l="1"/>
  <c r="O164" i="4" s="1"/>
  <c r="AC118" i="4"/>
  <c r="AC72" i="4"/>
  <c r="R72" i="4" s="1"/>
  <c r="AH72" i="4" s="1"/>
  <c r="R164" i="4"/>
  <c r="AC164" i="4" s="1"/>
  <c r="AB72" i="4" l="1"/>
  <c r="AR72" i="4" s="1"/>
  <c r="Y72" i="4"/>
  <c r="AO72" i="4" s="1"/>
  <c r="V118" i="4"/>
  <c r="AA118" i="4"/>
  <c r="AQ118" i="4" s="1"/>
  <c r="Z118" i="4"/>
  <c r="AP118" i="4" s="1"/>
  <c r="X118" i="4"/>
  <c r="AN118" i="4" s="1"/>
  <c r="T118" i="4"/>
  <c r="AJ118" i="4" s="1"/>
  <c r="Q118" i="4"/>
  <c r="AG118" i="4" s="1"/>
  <c r="U118" i="4"/>
  <c r="AK118" i="4" s="1"/>
  <c r="AB118" i="4"/>
  <c r="AR118" i="4" s="1"/>
  <c r="W118" i="4"/>
  <c r="AM118" i="4" s="1"/>
  <c r="R118" i="4"/>
  <c r="AH118" i="4" s="1"/>
  <c r="S118" i="4"/>
  <c r="AI118" i="4" s="1"/>
  <c r="AD164" i="4"/>
  <c r="AL164" i="4"/>
  <c r="AM164" i="4"/>
  <c r="W72" i="4"/>
  <c r="AM72" i="4" s="1"/>
  <c r="V72" i="4"/>
  <c r="U72" i="4"/>
  <c r="AK72" i="4" s="1"/>
  <c r="Q72" i="4"/>
  <c r="T72" i="4"/>
  <c r="AJ72" i="4" s="1"/>
  <c r="X72" i="4"/>
  <c r="AN72" i="4" s="1"/>
  <c r="AA72" i="4"/>
  <c r="AQ72" i="4" s="1"/>
  <c r="S72" i="4"/>
  <c r="AI72" i="4" s="1"/>
  <c r="Z72" i="4"/>
  <c r="AP72" i="4" s="1"/>
  <c r="Y118" i="4"/>
  <c r="AO118" i="4" s="1"/>
  <c r="AN164" i="4" l="1"/>
  <c r="AL118" i="4"/>
  <c r="AS118" i="4" s="1"/>
  <c r="AD118" i="4"/>
  <c r="AE118" i="4" s="1"/>
  <c r="AL72" i="4"/>
  <c r="AE72" i="4"/>
  <c r="AD72" i="4"/>
  <c r="E165" i="4" s="1"/>
  <c r="T165" i="4" s="1"/>
  <c r="AG72" i="4"/>
  <c r="C165" i="4" l="1"/>
  <c r="R165" i="4" s="1"/>
  <c r="AS72" i="4"/>
  <c r="M165" i="4"/>
  <c r="AB165" i="4" s="1"/>
  <c r="L165" i="4"/>
  <c r="AA165" i="4" s="1"/>
  <c r="J165" i="4"/>
  <c r="Y165" i="4" s="1"/>
  <c r="G165" i="4"/>
  <c r="V165" i="4" s="1"/>
  <c r="H165" i="4"/>
  <c r="W165" i="4" s="1"/>
  <c r="K165" i="4"/>
  <c r="Z165" i="4" s="1"/>
  <c r="I165" i="4"/>
  <c r="X165" i="4" s="1"/>
  <c r="D165" i="4"/>
  <c r="F165" i="4"/>
  <c r="AC119" i="4" l="1"/>
  <c r="AB119" i="4" s="1"/>
  <c r="AR119" i="4" s="1"/>
  <c r="S165" i="4"/>
  <c r="AC73" i="4"/>
  <c r="AB73" i="4" s="1"/>
  <c r="AR73" i="4" s="1"/>
  <c r="U165" i="4"/>
  <c r="N165" i="4"/>
  <c r="O165" i="4" s="1"/>
  <c r="U119" i="4" l="1"/>
  <c r="AK119" i="4" s="1"/>
  <c r="V119" i="4"/>
  <c r="AL119" i="4" s="1"/>
  <c r="AC165" i="4"/>
  <c r="S73" i="4"/>
  <c r="AI73" i="4" s="1"/>
  <c r="T73" i="4"/>
  <c r="AJ73" i="4" s="1"/>
  <c r="Y73" i="4"/>
  <c r="AO73" i="4" s="1"/>
  <c r="Z73" i="4"/>
  <c r="AP73" i="4" s="1"/>
  <c r="R73" i="4"/>
  <c r="AH73" i="4" s="1"/>
  <c r="Q73" i="4"/>
  <c r="U73" i="4"/>
  <c r="AK73" i="4" s="1"/>
  <c r="X73" i="4"/>
  <c r="AN73" i="4" s="1"/>
  <c r="AA73" i="4"/>
  <c r="AQ73" i="4" s="1"/>
  <c r="W73" i="4"/>
  <c r="AM73" i="4" s="1"/>
  <c r="V73" i="4"/>
  <c r="R119" i="4"/>
  <c r="AH119" i="4" s="1"/>
  <c r="AA119" i="4"/>
  <c r="AQ119" i="4" s="1"/>
  <c r="Q119" i="4"/>
  <c r="AG119" i="4" s="1"/>
  <c r="W119" i="4"/>
  <c r="AM119" i="4" s="1"/>
  <c r="Y119" i="4"/>
  <c r="AO119" i="4" s="1"/>
  <c r="Z119" i="4"/>
  <c r="AP119" i="4" s="1"/>
  <c r="T119" i="4"/>
  <c r="AJ119" i="4" s="1"/>
  <c r="S119" i="4"/>
  <c r="AI119" i="4" s="1"/>
  <c r="X119" i="4"/>
  <c r="AN119" i="4" s="1"/>
  <c r="AS119" i="4" l="1"/>
  <c r="AL165" i="4"/>
  <c r="AD165" i="4"/>
  <c r="AM165" i="4"/>
  <c r="AN165" i="4" s="1"/>
  <c r="AD119" i="4"/>
  <c r="AE119" i="4" s="1"/>
  <c r="AL73" i="4"/>
  <c r="AE73" i="4"/>
  <c r="AG73" i="4"/>
  <c r="AD73" i="4"/>
  <c r="L166" i="4" s="1"/>
  <c r="AA166" i="4" s="1"/>
  <c r="AS73" i="4" l="1"/>
  <c r="E166" i="4"/>
  <c r="T166" i="4" s="1"/>
  <c r="D166" i="4"/>
  <c r="S166" i="4" s="1"/>
  <c r="H166" i="4"/>
  <c r="W166" i="4" s="1"/>
  <c r="I166" i="4"/>
  <c r="X166" i="4" s="1"/>
  <c r="K166" i="4"/>
  <c r="Z166" i="4" s="1"/>
  <c r="C166" i="4"/>
  <c r="R166" i="4" s="1"/>
  <c r="J166" i="4"/>
  <c r="Y166" i="4" s="1"/>
  <c r="M166" i="4"/>
  <c r="AB166" i="4" s="1"/>
  <c r="F166" i="4"/>
  <c r="U166" i="4" s="1"/>
  <c r="G166" i="4"/>
  <c r="V166" i="4" s="1"/>
  <c r="N166" i="4" l="1"/>
  <c r="O166" i="4" s="1"/>
  <c r="AC74" i="4"/>
  <c r="W74" i="4" s="1"/>
  <c r="AM74" i="4" s="1"/>
  <c r="AC120" i="4"/>
  <c r="U74" i="4" l="1"/>
  <c r="AK74" i="4" s="1"/>
  <c r="T120" i="4"/>
  <c r="AJ120" i="4" s="1"/>
  <c r="U120" i="4"/>
  <c r="AK120" i="4" s="1"/>
  <c r="Z120" i="4"/>
  <c r="AP120" i="4" s="1"/>
  <c r="S120" i="4"/>
  <c r="AI120" i="4" s="1"/>
  <c r="R120" i="4"/>
  <c r="AH120" i="4" s="1"/>
  <c r="AA120" i="4"/>
  <c r="AQ120" i="4" s="1"/>
  <c r="V120" i="4"/>
  <c r="W120" i="4"/>
  <c r="AM120" i="4" s="1"/>
  <c r="Y120" i="4"/>
  <c r="AO120" i="4" s="1"/>
  <c r="Q120" i="4"/>
  <c r="AG120" i="4" s="1"/>
  <c r="AB74" i="4"/>
  <c r="AR74" i="4" s="1"/>
  <c r="X120" i="4"/>
  <c r="AN120" i="4" s="1"/>
  <c r="R74" i="4"/>
  <c r="AH74" i="4" s="1"/>
  <c r="Q74" i="4"/>
  <c r="Z74" i="4"/>
  <c r="AP74" i="4" s="1"/>
  <c r="AA74" i="4"/>
  <c r="AQ74" i="4" s="1"/>
  <c r="X74" i="4"/>
  <c r="AN74" i="4" s="1"/>
  <c r="Y74" i="4"/>
  <c r="AO74" i="4" s="1"/>
  <c r="T74" i="4"/>
  <c r="AJ74" i="4" s="1"/>
  <c r="S74" i="4"/>
  <c r="AI74" i="4" s="1"/>
  <c r="V74" i="4"/>
  <c r="AB120" i="4"/>
  <c r="AR120" i="4" s="1"/>
  <c r="AC166" i="4"/>
  <c r="AD166" i="4" s="1"/>
  <c r="AG74" i="4" l="1"/>
  <c r="AD74" i="4"/>
  <c r="J167" i="4" s="1"/>
  <c r="Y167" i="4" s="1"/>
  <c r="AE74" i="4"/>
  <c r="AL74" i="4"/>
  <c r="AL120" i="4"/>
  <c r="AS120" i="4" s="1"/>
  <c r="AD120" i="4"/>
  <c r="AE120" i="4" s="1"/>
  <c r="K167" i="4" l="1"/>
  <c r="Z167" i="4" s="1"/>
  <c r="AS74" i="4"/>
  <c r="I167" i="4"/>
  <c r="X167" i="4" s="1"/>
  <c r="G167" i="4"/>
  <c r="V167" i="4" s="1"/>
  <c r="C167" i="4"/>
  <c r="R167" i="4" s="1"/>
  <c r="E167" i="4"/>
  <c r="T167" i="4" s="1"/>
  <c r="F167" i="4"/>
  <c r="U167" i="4" s="1"/>
  <c r="L167" i="4"/>
  <c r="AA167" i="4" s="1"/>
  <c r="H167" i="4"/>
  <c r="W167" i="4" s="1"/>
  <c r="M167" i="4"/>
  <c r="AB167" i="4" s="1"/>
  <c r="D167" i="4"/>
  <c r="S167" i="4" s="1"/>
  <c r="N167" i="4" l="1"/>
  <c r="O167" i="4" s="1"/>
  <c r="AC167" i="4"/>
  <c r="AD167" i="4" s="1"/>
  <c r="AC75" i="4"/>
  <c r="AC121" i="4"/>
  <c r="V121" i="4" s="1"/>
  <c r="Z75" i="4" l="1"/>
  <c r="AP75" i="4" s="1"/>
  <c r="R75" i="4"/>
  <c r="AB75" i="4"/>
  <c r="AR75" i="4" s="1"/>
  <c r="Y75" i="4"/>
  <c r="AO75" i="4" s="1"/>
  <c r="Q75" i="4"/>
  <c r="T75" i="4"/>
  <c r="AJ75" i="4" s="1"/>
  <c r="W75" i="4"/>
  <c r="AM75" i="4" s="1"/>
  <c r="X75" i="4"/>
  <c r="AA75" i="4"/>
  <c r="AQ75" i="4" s="1"/>
  <c r="U75" i="4"/>
  <c r="AK75" i="4" s="1"/>
  <c r="AA121" i="4"/>
  <c r="W121" i="4"/>
  <c r="Z121" i="4"/>
  <c r="T121" i="4"/>
  <c r="X121" i="4"/>
  <c r="U121" i="4"/>
  <c r="Q121" i="4"/>
  <c r="AB121" i="4"/>
  <c r="R121" i="4"/>
  <c r="Y121" i="4"/>
  <c r="S121" i="4"/>
  <c r="S75" i="4"/>
  <c r="AI75" i="4" s="1"/>
  <c r="V75" i="4"/>
  <c r="AD121" i="4" l="1"/>
  <c r="AE121" i="4" s="1"/>
  <c r="AE75" i="4"/>
  <c r="AL75" i="4"/>
  <c r="AD75" i="4"/>
  <c r="M168" i="4" s="1"/>
  <c r="AB168" i="4" s="1"/>
  <c r="AG75" i="4"/>
  <c r="AN75" i="4"/>
  <c r="AH75" i="4"/>
  <c r="J168" i="4" l="1"/>
  <c r="Y168" i="4" s="1"/>
  <c r="D168" i="4"/>
  <c r="S168" i="4" s="1"/>
  <c r="G168" i="4"/>
  <c r="V168" i="4" s="1"/>
  <c r="F168" i="4"/>
  <c r="U168" i="4" s="1"/>
  <c r="I168" i="4"/>
  <c r="X168" i="4" s="1"/>
  <c r="E168" i="4"/>
  <c r="T168" i="4" s="1"/>
  <c r="H168" i="4"/>
  <c r="W168" i="4" s="1"/>
  <c r="L168" i="4"/>
  <c r="AA168" i="4" s="1"/>
  <c r="C168" i="4"/>
  <c r="R168" i="4" s="1"/>
  <c r="AS75" i="4"/>
  <c r="K168" i="4"/>
  <c r="Z168" i="4" s="1"/>
  <c r="N168" i="4" l="1"/>
  <c r="O168" i="4" s="1"/>
  <c r="AC76" i="4"/>
  <c r="U76" i="4" s="1"/>
  <c r="AK76" i="4" s="1"/>
  <c r="AC122" i="4"/>
  <c r="Y122" i="4" s="1"/>
  <c r="AO122" i="4" s="1"/>
  <c r="AC168" i="4"/>
  <c r="X122" i="4" l="1"/>
  <c r="AN122" i="4" s="1"/>
  <c r="Y76" i="4"/>
  <c r="AO76" i="4" s="1"/>
  <c r="R122" i="4"/>
  <c r="AH122" i="4" s="1"/>
  <c r="AD168" i="4"/>
  <c r="AM168" i="4"/>
  <c r="AN168" i="4" s="1"/>
  <c r="AL168" i="4"/>
  <c r="AB122" i="4"/>
  <c r="AR122" i="4" s="1"/>
  <c r="W122" i="4"/>
  <c r="AM122" i="4" s="1"/>
  <c r="T122" i="4"/>
  <c r="AJ122" i="4" s="1"/>
  <c r="U122" i="4"/>
  <c r="AK122" i="4" s="1"/>
  <c r="AA122" i="4"/>
  <c r="AQ122" i="4" s="1"/>
  <c r="Q122" i="4"/>
  <c r="AG122" i="4" s="1"/>
  <c r="V122" i="4"/>
  <c r="S122" i="4"/>
  <c r="AI122" i="4" s="1"/>
  <c r="Z122" i="4"/>
  <c r="AP122" i="4" s="1"/>
  <c r="S76" i="4"/>
  <c r="AI76" i="4" s="1"/>
  <c r="Q76" i="4"/>
  <c r="T76" i="4"/>
  <c r="AJ76" i="4" s="1"/>
  <c r="AA76" i="4"/>
  <c r="AQ76" i="4" s="1"/>
  <c r="X76" i="4"/>
  <c r="V76" i="4"/>
  <c r="W76" i="4"/>
  <c r="AM76" i="4" s="1"/>
  <c r="AB76" i="4"/>
  <c r="AR76" i="4" s="1"/>
  <c r="Z76" i="4"/>
  <c r="AP76" i="4" s="1"/>
  <c r="R76" i="4"/>
  <c r="AN76" i="4" l="1"/>
  <c r="AH76" i="4"/>
  <c r="AE76" i="4"/>
  <c r="AL76" i="4"/>
  <c r="AD76" i="4"/>
  <c r="L169" i="4" s="1"/>
  <c r="AA169" i="4" s="1"/>
  <c r="AG76" i="4"/>
  <c r="AL122" i="4"/>
  <c r="AS122" i="4" s="1"/>
  <c r="AD122" i="4"/>
  <c r="AE122" i="4" s="1"/>
  <c r="M169" i="4" l="1"/>
  <c r="AB169" i="4" s="1"/>
  <c r="AS76" i="4"/>
  <c r="H169" i="4"/>
  <c r="W169" i="4" s="1"/>
  <c r="G169" i="4"/>
  <c r="V169" i="4" s="1"/>
  <c r="C169" i="4"/>
  <c r="R169" i="4" s="1"/>
  <c r="F169" i="4"/>
  <c r="U169" i="4" s="1"/>
  <c r="I169" i="4"/>
  <c r="X169" i="4" s="1"/>
  <c r="E169" i="4"/>
  <c r="T169" i="4" s="1"/>
  <c r="K169" i="4"/>
  <c r="Z169" i="4" s="1"/>
  <c r="D169" i="4"/>
  <c r="S169" i="4" s="1"/>
  <c r="J169" i="4"/>
  <c r="Y169" i="4" s="1"/>
  <c r="AC169" i="4" l="1"/>
  <c r="AD169" i="4" s="1"/>
  <c r="AC123" i="4"/>
  <c r="Z123" i="4" s="1"/>
  <c r="AC77" i="4"/>
  <c r="R77" i="4" s="1"/>
  <c r="AH77" i="4" s="1"/>
  <c r="N169" i="4"/>
  <c r="O169" i="4" s="1"/>
  <c r="S77" i="4" l="1"/>
  <c r="AI77" i="4" s="1"/>
  <c r="Z77" i="4"/>
  <c r="AP77" i="4" s="1"/>
  <c r="U77" i="4"/>
  <c r="AK77" i="4" s="1"/>
  <c r="S123" i="4"/>
  <c r="T123" i="4"/>
  <c r="W123" i="4"/>
  <c r="Y123" i="4"/>
  <c r="V123" i="4"/>
  <c r="Q123" i="4"/>
  <c r="AB123" i="4"/>
  <c r="AA123" i="4"/>
  <c r="R123" i="4"/>
  <c r="X123" i="4"/>
  <c r="V77" i="4"/>
  <c r="X77" i="4"/>
  <c r="AN77" i="4" s="1"/>
  <c r="W77" i="4"/>
  <c r="AM77" i="4" s="1"/>
  <c r="Q77" i="4"/>
  <c r="Y77" i="4"/>
  <c r="AO77" i="4" s="1"/>
  <c r="AA77" i="4"/>
  <c r="AQ77" i="4" s="1"/>
  <c r="AB77" i="4"/>
  <c r="AR77" i="4" s="1"/>
  <c r="T77" i="4"/>
  <c r="AJ77" i="4" s="1"/>
  <c r="U123" i="4"/>
  <c r="AD123" i="4" l="1"/>
  <c r="AE123" i="4" s="1"/>
  <c r="AL77" i="4"/>
  <c r="AE77" i="4"/>
  <c r="AG77" i="4"/>
  <c r="AD77" i="4"/>
  <c r="J170" i="4" s="1"/>
  <c r="Y170" i="4" s="1"/>
  <c r="AS77" i="4" l="1"/>
  <c r="I170" i="4"/>
  <c r="X170" i="4" s="1"/>
  <c r="M170" i="4"/>
  <c r="AB170" i="4" s="1"/>
  <c r="H170" i="4"/>
  <c r="W170" i="4" s="1"/>
  <c r="F170" i="4"/>
  <c r="U170" i="4" s="1"/>
  <c r="C170" i="4"/>
  <c r="R170" i="4" s="1"/>
  <c r="D170" i="4"/>
  <c r="S170" i="4" s="1"/>
  <c r="L170" i="4"/>
  <c r="AA170" i="4" s="1"/>
  <c r="E170" i="4"/>
  <c r="T170" i="4" s="1"/>
  <c r="G170" i="4"/>
  <c r="V170" i="4" s="1"/>
  <c r="K170" i="4"/>
  <c r="Z170" i="4" s="1"/>
  <c r="AC124" i="4" l="1"/>
  <c r="AA124" i="4" s="1"/>
  <c r="AQ124" i="4" s="1"/>
  <c r="N170" i="4"/>
  <c r="O170" i="4" s="1"/>
  <c r="AC170" i="4"/>
  <c r="AC78" i="4"/>
  <c r="S124" i="4" l="1"/>
  <c r="AI124" i="4" s="1"/>
  <c r="Z78" i="4"/>
  <c r="AP78" i="4" s="1"/>
  <c r="X78" i="4"/>
  <c r="AN78" i="4" s="1"/>
  <c r="Q78" i="4"/>
  <c r="V78" i="4"/>
  <c r="Y78" i="4"/>
  <c r="AO78" i="4" s="1"/>
  <c r="T78" i="4"/>
  <c r="AJ78" i="4" s="1"/>
  <c r="U78" i="4"/>
  <c r="AK78" i="4" s="1"/>
  <c r="R78" i="4"/>
  <c r="AH78" i="4" s="1"/>
  <c r="AL170" i="4"/>
  <c r="AM170" i="4"/>
  <c r="AN170" i="4" s="1"/>
  <c r="AD170" i="4"/>
  <c r="S78" i="4"/>
  <c r="AI78" i="4" s="1"/>
  <c r="AB78" i="4"/>
  <c r="AR78" i="4" s="1"/>
  <c r="W78" i="4"/>
  <c r="AM78" i="4" s="1"/>
  <c r="AA78" i="4"/>
  <c r="AQ78" i="4" s="1"/>
  <c r="AB124" i="4"/>
  <c r="AR124" i="4" s="1"/>
  <c r="T124" i="4"/>
  <c r="AJ124" i="4" s="1"/>
  <c r="Q124" i="4"/>
  <c r="AG124" i="4" s="1"/>
  <c r="U124" i="4"/>
  <c r="AK124" i="4" s="1"/>
  <c r="W124" i="4"/>
  <c r="AM124" i="4" s="1"/>
  <c r="V124" i="4"/>
  <c r="Y124" i="4"/>
  <c r="AO124" i="4" s="1"/>
  <c r="R124" i="4"/>
  <c r="AH124" i="4" s="1"/>
  <c r="X124" i="4"/>
  <c r="AN124" i="4" s="1"/>
  <c r="Z124" i="4"/>
  <c r="AP124" i="4" s="1"/>
  <c r="AE78" i="4" l="1"/>
  <c r="AL78" i="4"/>
  <c r="AD124" i="4"/>
  <c r="AE124" i="4" s="1"/>
  <c r="AL124" i="4"/>
  <c r="AS124" i="4" s="1"/>
  <c r="AG78" i="4"/>
  <c r="AD78" i="4"/>
  <c r="AS78" i="4" l="1"/>
  <c r="G171" i="4"/>
  <c r="V171" i="4" s="1"/>
  <c r="C171" i="4"/>
  <c r="R171" i="4" s="1"/>
  <c r="H171" i="4"/>
  <c r="W171" i="4" s="1"/>
  <c r="E171" i="4"/>
  <c r="T171" i="4" s="1"/>
  <c r="I171" i="4"/>
  <c r="X171" i="4" s="1"/>
  <c r="M171" i="4"/>
  <c r="AB171" i="4" s="1"/>
  <c r="D171" i="4"/>
  <c r="S171" i="4" s="1"/>
  <c r="K171" i="4"/>
  <c r="Z171" i="4" s="1"/>
  <c r="F171" i="4"/>
  <c r="U171" i="4" s="1"/>
  <c r="L171" i="4"/>
  <c r="AA171" i="4" s="1"/>
  <c r="J171" i="4"/>
  <c r="Y171" i="4" s="1"/>
  <c r="AC125" i="4" l="1"/>
  <c r="N171" i="4"/>
  <c r="O171" i="4" s="1"/>
  <c r="AC79" i="4"/>
  <c r="U79" i="4" s="1"/>
  <c r="AK79" i="4" s="1"/>
  <c r="R79" i="4" l="1"/>
  <c r="AH79" i="4" s="1"/>
  <c r="Y125" i="4"/>
  <c r="X125" i="4"/>
  <c r="S125" i="4"/>
  <c r="T125" i="4"/>
  <c r="R125" i="4"/>
  <c r="Z125" i="4"/>
  <c r="W125" i="4"/>
  <c r="V125" i="4"/>
  <c r="Q125" i="4"/>
  <c r="AB79" i="4"/>
  <c r="AR79" i="4" s="1"/>
  <c r="AB125" i="4"/>
  <c r="AC171" i="4"/>
  <c r="Z79" i="4"/>
  <c r="AP79" i="4" s="1"/>
  <c r="S79" i="4"/>
  <c r="AI79" i="4" s="1"/>
  <c r="T79" i="4"/>
  <c r="AJ79" i="4" s="1"/>
  <c r="Q79" i="4"/>
  <c r="X79" i="4"/>
  <c r="AN79" i="4" s="1"/>
  <c r="Y79" i="4"/>
  <c r="AO79" i="4" s="1"/>
  <c r="AA125" i="4"/>
  <c r="V79" i="4"/>
  <c r="W79" i="4"/>
  <c r="AM79" i="4" s="1"/>
  <c r="AA79" i="4"/>
  <c r="AQ79" i="4" s="1"/>
  <c r="U125" i="4"/>
  <c r="AL79" i="4" l="1"/>
  <c r="AE79" i="4"/>
  <c r="AG79" i="4"/>
  <c r="AD79" i="4"/>
  <c r="AD171" i="4"/>
  <c r="AD125" i="4"/>
  <c r="AE125" i="4" s="1"/>
  <c r="AS79" i="4" l="1"/>
  <c r="G172" i="4"/>
  <c r="V172" i="4" s="1"/>
  <c r="H172" i="4"/>
  <c r="W172" i="4" s="1"/>
  <c r="D172" i="4"/>
  <c r="S172" i="4" s="1"/>
  <c r="L172" i="4"/>
  <c r="AA172" i="4" s="1"/>
  <c r="F172" i="4"/>
  <c r="U172" i="4" s="1"/>
  <c r="C172" i="4"/>
  <c r="R172" i="4" s="1"/>
  <c r="K172" i="4"/>
  <c r="Z172" i="4" s="1"/>
  <c r="M172" i="4"/>
  <c r="AB172" i="4" s="1"/>
  <c r="I172" i="4"/>
  <c r="X172" i="4" s="1"/>
  <c r="J172" i="4"/>
  <c r="Y172" i="4" s="1"/>
  <c r="E172" i="4"/>
  <c r="T172" i="4" s="1"/>
  <c r="N172" i="4" l="1"/>
  <c r="O172" i="4" s="1"/>
  <c r="AC126" i="4"/>
  <c r="Y126" i="4" s="1"/>
  <c r="AO126" i="4" s="1"/>
  <c r="AC80" i="4"/>
  <c r="X80" i="4" s="1"/>
  <c r="AN80" i="4" s="1"/>
  <c r="W126" i="4" l="1"/>
  <c r="AM126" i="4" s="1"/>
  <c r="V80" i="4"/>
  <c r="AL80" i="4" s="1"/>
  <c r="AC172" i="4"/>
  <c r="AD172" i="4" s="1"/>
  <c r="Z126" i="4"/>
  <c r="AP126" i="4" s="1"/>
  <c r="AA126" i="4"/>
  <c r="AQ126" i="4" s="1"/>
  <c r="V126" i="4"/>
  <c r="X126" i="4"/>
  <c r="AN126" i="4" s="1"/>
  <c r="AB126" i="4"/>
  <c r="AR126" i="4" s="1"/>
  <c r="Q126" i="4"/>
  <c r="AG126" i="4" s="1"/>
  <c r="S126" i="4"/>
  <c r="AI126" i="4" s="1"/>
  <c r="T126" i="4"/>
  <c r="AJ126" i="4" s="1"/>
  <c r="Y80" i="4"/>
  <c r="AO80" i="4" s="1"/>
  <c r="R80" i="4"/>
  <c r="AH80" i="4" s="1"/>
  <c r="T80" i="4"/>
  <c r="AJ80" i="4" s="1"/>
  <c r="R126" i="4"/>
  <c r="AH126" i="4" s="1"/>
  <c r="Z80" i="4"/>
  <c r="AA80" i="4"/>
  <c r="AQ80" i="4" s="1"/>
  <c r="S80" i="4"/>
  <c r="AI80" i="4" s="1"/>
  <c r="U80" i="4"/>
  <c r="AB80" i="4"/>
  <c r="AR80" i="4" s="1"/>
  <c r="Q80" i="4"/>
  <c r="U126" i="4"/>
  <c r="AK126" i="4" s="1"/>
  <c r="W80" i="4"/>
  <c r="AL172" i="4" l="1"/>
  <c r="AM172" i="4"/>
  <c r="AN172" i="4" s="1"/>
  <c r="AP80" i="4"/>
  <c r="AM80" i="4"/>
  <c r="AE80" i="4"/>
  <c r="AK80" i="4"/>
  <c r="AL126" i="4"/>
  <c r="AS126" i="4" s="1"/>
  <c r="AD126" i="4"/>
  <c r="AE126" i="4" s="1"/>
  <c r="AG80" i="4"/>
  <c r="AD80" i="4"/>
  <c r="L173" i="4" s="1"/>
  <c r="AA173" i="4" s="1"/>
  <c r="C173" i="4" l="1"/>
  <c r="R173" i="4" s="1"/>
  <c r="J173" i="4"/>
  <c r="Y173" i="4" s="1"/>
  <c r="F173" i="4"/>
  <c r="U173" i="4" s="1"/>
  <c r="I173" i="4"/>
  <c r="X173" i="4" s="1"/>
  <c r="H173" i="4"/>
  <c r="W173" i="4" s="1"/>
  <c r="D173" i="4"/>
  <c r="S173" i="4" s="1"/>
  <c r="K173" i="4"/>
  <c r="Z173" i="4" s="1"/>
  <c r="G173" i="4"/>
  <c r="V173" i="4" s="1"/>
  <c r="E173" i="4"/>
  <c r="T173" i="4" s="1"/>
  <c r="AS80" i="4"/>
  <c r="M173" i="4"/>
  <c r="AB173" i="4" s="1"/>
  <c r="AC173" i="4" l="1"/>
  <c r="AD173" i="4" s="1"/>
  <c r="AC81" i="4"/>
  <c r="S81" i="4" s="1"/>
  <c r="AI81" i="4" s="1"/>
  <c r="AC127" i="4"/>
  <c r="T127" i="4" s="1"/>
  <c r="N173" i="4"/>
  <c r="O173" i="4" s="1"/>
  <c r="S127" i="4" l="1"/>
  <c r="U81" i="4"/>
  <c r="AK81" i="4" s="1"/>
  <c r="X81" i="4"/>
  <c r="AN81" i="4" s="1"/>
  <c r="V81" i="4"/>
  <c r="W81" i="4"/>
  <c r="AM81" i="4" s="1"/>
  <c r="Q81" i="4"/>
  <c r="AA81" i="4"/>
  <c r="AQ81" i="4" s="1"/>
  <c r="Z81" i="4"/>
  <c r="AP81" i="4" s="1"/>
  <c r="R81" i="4"/>
  <c r="AH81" i="4" s="1"/>
  <c r="Y81" i="4"/>
  <c r="AO81" i="4" s="1"/>
  <c r="AB81" i="4"/>
  <c r="AR81" i="4" s="1"/>
  <c r="V127" i="4"/>
  <c r="AA127" i="4"/>
  <c r="AB127" i="4"/>
  <c r="R127" i="4"/>
  <c r="U127" i="4"/>
  <c r="Z127" i="4"/>
  <c r="W127" i="4"/>
  <c r="Q127" i="4"/>
  <c r="Y127" i="4"/>
  <c r="X127" i="4"/>
  <c r="T81" i="4"/>
  <c r="AJ81" i="4" s="1"/>
  <c r="AD81" i="4" l="1"/>
  <c r="C174" i="4" s="1"/>
  <c r="R174" i="4" s="1"/>
  <c r="AG81" i="4"/>
  <c r="AD127" i="4"/>
  <c r="AE127" i="4" s="1"/>
  <c r="AL81" i="4"/>
  <c r="AE81" i="4"/>
  <c r="AS81" i="4" l="1"/>
  <c r="E174" i="4"/>
  <c r="T174" i="4" s="1"/>
  <c r="J174" i="4"/>
  <c r="Y174" i="4" s="1"/>
  <c r="L174" i="4"/>
  <c r="AA174" i="4" s="1"/>
  <c r="I174" i="4"/>
  <c r="X174" i="4" s="1"/>
  <c r="H174" i="4"/>
  <c r="W174" i="4" s="1"/>
  <c r="D174" i="4"/>
  <c r="S174" i="4" s="1"/>
  <c r="G174" i="4"/>
  <c r="V174" i="4" s="1"/>
  <c r="K174" i="4"/>
  <c r="Z174" i="4" s="1"/>
  <c r="M174" i="4"/>
  <c r="AB174" i="4" s="1"/>
  <c r="F174" i="4"/>
  <c r="U174" i="4" s="1"/>
  <c r="AC128" i="4" l="1"/>
  <c r="AC174" i="4"/>
  <c r="AD174" i="4" s="1"/>
  <c r="N174" i="4"/>
  <c r="O174" i="4" s="1"/>
  <c r="AC82" i="4"/>
  <c r="X82" i="4" l="1"/>
  <c r="AN82" i="4" s="1"/>
  <c r="AB82" i="4"/>
  <c r="AR82" i="4" s="1"/>
  <c r="T82" i="4"/>
  <c r="AJ82" i="4" s="1"/>
  <c r="Z82" i="4"/>
  <c r="AP82" i="4" s="1"/>
  <c r="W82" i="4"/>
  <c r="AM82" i="4" s="1"/>
  <c r="Y82" i="4"/>
  <c r="AO82" i="4" s="1"/>
  <c r="Q82" i="4"/>
  <c r="V82" i="4"/>
  <c r="R82" i="4"/>
  <c r="AH82" i="4" s="1"/>
  <c r="S82" i="4"/>
  <c r="AI82" i="4" s="1"/>
  <c r="U82" i="4"/>
  <c r="AK82" i="4" s="1"/>
  <c r="X128" i="4"/>
  <c r="S128" i="4"/>
  <c r="Y128" i="4"/>
  <c r="R128" i="4"/>
  <c r="U128" i="4"/>
  <c r="Z128" i="4"/>
  <c r="Q128" i="4"/>
  <c r="AA128" i="4"/>
  <c r="V128" i="4"/>
  <c r="AA82" i="4"/>
  <c r="AQ82" i="4" s="1"/>
  <c r="W128" i="4"/>
  <c r="AB128" i="4"/>
  <c r="T128" i="4"/>
  <c r="AD128" i="4" l="1"/>
  <c r="AE128" i="4" s="1"/>
  <c r="AE82" i="4"/>
  <c r="AL82" i="4"/>
  <c r="AD82" i="4"/>
  <c r="M175" i="4" s="1"/>
  <c r="AB175" i="4" s="1"/>
  <c r="AG82" i="4"/>
  <c r="AS82" i="4" l="1"/>
  <c r="K175" i="4"/>
  <c r="Z175" i="4" s="1"/>
  <c r="I175" i="4"/>
  <c r="X175" i="4" s="1"/>
  <c r="H175" i="4"/>
  <c r="W175" i="4" s="1"/>
  <c r="J175" i="4"/>
  <c r="Y175" i="4" s="1"/>
  <c r="D175" i="4"/>
  <c r="S175" i="4" s="1"/>
  <c r="G175" i="4"/>
  <c r="V175" i="4" s="1"/>
  <c r="C175" i="4"/>
  <c r="R175" i="4" s="1"/>
  <c r="L175" i="4"/>
  <c r="AA175" i="4" s="1"/>
  <c r="F175" i="4"/>
  <c r="U175" i="4" s="1"/>
  <c r="E175" i="4"/>
  <c r="T175" i="4" s="1"/>
  <c r="AC129" i="4" l="1"/>
  <c r="V129" i="4" s="1"/>
  <c r="AC83" i="4"/>
  <c r="R83" i="4" s="1"/>
  <c r="AH83" i="4" s="1"/>
  <c r="N175" i="4"/>
  <c r="O175" i="4" s="1"/>
  <c r="AA83" i="4" l="1"/>
  <c r="AQ83" i="4" s="1"/>
  <c r="Y83" i="4"/>
  <c r="AO83" i="4" s="1"/>
  <c r="X129" i="4"/>
  <c r="Q129" i="4"/>
  <c r="AB129" i="4"/>
  <c r="S129" i="4"/>
  <c r="Y129" i="4"/>
  <c r="Z129" i="4"/>
  <c r="W129" i="4"/>
  <c r="T129" i="4"/>
  <c r="R129" i="4"/>
  <c r="AC175" i="4"/>
  <c r="AD175" i="4" s="1"/>
  <c r="U129" i="4"/>
  <c r="AA129" i="4"/>
  <c r="W83" i="4"/>
  <c r="AM83" i="4" s="1"/>
  <c r="Z83" i="4"/>
  <c r="AP83" i="4" s="1"/>
  <c r="U83" i="4"/>
  <c r="AK83" i="4" s="1"/>
  <c r="AB83" i="4"/>
  <c r="AR83" i="4" s="1"/>
  <c r="T83" i="4"/>
  <c r="AJ83" i="4" s="1"/>
  <c r="X83" i="4"/>
  <c r="AN83" i="4" s="1"/>
  <c r="Q83" i="4"/>
  <c r="V83" i="4"/>
  <c r="S83" i="4"/>
  <c r="AI83" i="4" s="1"/>
  <c r="AD129" i="4" l="1"/>
  <c r="AE129" i="4" s="1"/>
  <c r="AE83" i="4"/>
  <c r="AL83" i="4"/>
  <c r="AG83" i="4"/>
  <c r="AD83" i="4"/>
  <c r="F176" i="4" s="1"/>
  <c r="U176" i="4" s="1"/>
  <c r="AS83" i="4" l="1"/>
  <c r="E176" i="4"/>
  <c r="T176" i="4" s="1"/>
  <c r="C176" i="4"/>
  <c r="R176" i="4" s="1"/>
  <c r="K176" i="4"/>
  <c r="Z176" i="4" s="1"/>
  <c r="G176" i="4"/>
  <c r="V176" i="4" s="1"/>
  <c r="J176" i="4"/>
  <c r="Y176" i="4" s="1"/>
  <c r="H176" i="4"/>
  <c r="W176" i="4" s="1"/>
  <c r="L176" i="4"/>
  <c r="AA176" i="4" s="1"/>
  <c r="D176" i="4"/>
  <c r="S176" i="4" s="1"/>
  <c r="M176" i="4"/>
  <c r="AB176" i="4" s="1"/>
  <c r="I176" i="4"/>
  <c r="X176" i="4" s="1"/>
  <c r="N176" i="4" l="1"/>
  <c r="O176" i="4" s="1"/>
  <c r="AC130" i="4"/>
  <c r="AB130" i="4" s="1"/>
  <c r="AR130" i="4" s="1"/>
  <c r="AC84" i="4"/>
  <c r="S130" i="4" l="1"/>
  <c r="AI130" i="4" s="1"/>
  <c r="AB84" i="4"/>
  <c r="AR84" i="4" s="1"/>
  <c r="R84" i="4"/>
  <c r="Y84" i="4"/>
  <c r="T84" i="4"/>
  <c r="Q84" i="4"/>
  <c r="U84" i="4"/>
  <c r="AK84" i="4" s="1"/>
  <c r="AA84" i="4"/>
  <c r="X84" i="4"/>
  <c r="AC176" i="4"/>
  <c r="W84" i="4"/>
  <c r="AM84" i="4" s="1"/>
  <c r="V84" i="4"/>
  <c r="T130" i="4"/>
  <c r="AJ130" i="4" s="1"/>
  <c r="Q130" i="4"/>
  <c r="AG130" i="4" s="1"/>
  <c r="W130" i="4"/>
  <c r="AM130" i="4" s="1"/>
  <c r="X130" i="4"/>
  <c r="AN130" i="4" s="1"/>
  <c r="R130" i="4"/>
  <c r="AH130" i="4" s="1"/>
  <c r="Y130" i="4"/>
  <c r="AO130" i="4" s="1"/>
  <c r="U130" i="4"/>
  <c r="AK130" i="4" s="1"/>
  <c r="Z84" i="4"/>
  <c r="AP84" i="4" s="1"/>
  <c r="AA130" i="4"/>
  <c r="AQ130" i="4" s="1"/>
  <c r="S84" i="4"/>
  <c r="Z130" i="4"/>
  <c r="AP130" i="4" s="1"/>
  <c r="V130" i="4"/>
  <c r="AH84" i="4" l="1"/>
  <c r="AG84" i="4"/>
  <c r="AD84" i="4"/>
  <c r="D177" i="4" s="1"/>
  <c r="S177" i="4" s="1"/>
  <c r="AN84" i="4"/>
  <c r="AJ84" i="4"/>
  <c r="AI84" i="4"/>
  <c r="AD176" i="4"/>
  <c r="AL176" i="4"/>
  <c r="AM176" i="4"/>
  <c r="AN176" i="4" s="1"/>
  <c r="AD130" i="4"/>
  <c r="AE130" i="4" s="1"/>
  <c r="AL130" i="4"/>
  <c r="AS130" i="4" s="1"/>
  <c r="AL84" i="4"/>
  <c r="AE84" i="4"/>
  <c r="AQ84" i="4"/>
  <c r="AO84" i="4"/>
  <c r="C177" i="4" l="1"/>
  <c r="R177" i="4" s="1"/>
  <c r="L177" i="4"/>
  <c r="AA177" i="4" s="1"/>
  <c r="H177" i="4"/>
  <c r="W177" i="4" s="1"/>
  <c r="I177" i="4"/>
  <c r="X177" i="4" s="1"/>
  <c r="AS84" i="4"/>
  <c r="M177" i="4"/>
  <c r="AB177" i="4" s="1"/>
  <c r="F177" i="4"/>
  <c r="U177" i="4" s="1"/>
  <c r="K177" i="4"/>
  <c r="Z177" i="4" s="1"/>
  <c r="G177" i="4"/>
  <c r="V177" i="4" s="1"/>
  <c r="E177" i="4"/>
  <c r="T177" i="4" s="1"/>
  <c r="J177" i="4"/>
  <c r="Y177" i="4" s="1"/>
  <c r="AC85" i="4" l="1"/>
  <c r="AB85" i="4" s="1"/>
  <c r="AR85" i="4" s="1"/>
  <c r="N177" i="4"/>
  <c r="O177" i="4" s="1"/>
  <c r="AC131" i="4"/>
  <c r="V85" i="4" l="1"/>
  <c r="AL85" i="4" s="1"/>
  <c r="T85" i="4"/>
  <c r="AJ85" i="4" s="1"/>
  <c r="X131" i="4"/>
  <c r="AN131" i="4" s="1"/>
  <c r="Y131" i="4"/>
  <c r="AO131" i="4" s="1"/>
  <c r="Z131" i="4"/>
  <c r="AP131" i="4" s="1"/>
  <c r="S131" i="4"/>
  <c r="AI131" i="4" s="1"/>
  <c r="U131" i="4"/>
  <c r="AK131" i="4" s="1"/>
  <c r="W131" i="4"/>
  <c r="AM131" i="4" s="1"/>
  <c r="Q131" i="4"/>
  <c r="AG131" i="4" s="1"/>
  <c r="AA131" i="4"/>
  <c r="AQ131" i="4" s="1"/>
  <c r="AB131" i="4"/>
  <c r="AR131" i="4" s="1"/>
  <c r="V131" i="4"/>
  <c r="AA85" i="4"/>
  <c r="AQ85" i="4" s="1"/>
  <c r="Y85" i="4"/>
  <c r="AO85" i="4" s="1"/>
  <c r="Q85" i="4"/>
  <c r="W85" i="4"/>
  <c r="U85" i="4"/>
  <c r="AK85" i="4" s="1"/>
  <c r="S85" i="4"/>
  <c r="AI85" i="4" s="1"/>
  <c r="Z85" i="4"/>
  <c r="AP85" i="4" s="1"/>
  <c r="X85" i="4"/>
  <c r="AN85" i="4" s="1"/>
  <c r="R85" i="4"/>
  <c r="AH85" i="4" s="1"/>
  <c r="AC177" i="4"/>
  <c r="T131" i="4"/>
  <c r="AJ131" i="4" s="1"/>
  <c r="R131" i="4"/>
  <c r="AH131" i="4" s="1"/>
  <c r="AL131" i="4" l="1"/>
  <c r="AS131" i="4" s="1"/>
  <c r="AD131" i="4"/>
  <c r="AE131" i="4" s="1"/>
  <c r="AL177" i="4"/>
  <c r="AD177" i="4"/>
  <c r="AM177" i="4"/>
  <c r="AN177" i="4" s="1"/>
  <c r="AE85" i="4"/>
  <c r="AM85" i="4"/>
  <c r="AG85" i="4"/>
  <c r="AD85" i="4"/>
  <c r="AS85" i="4" l="1"/>
  <c r="K178" i="4"/>
  <c r="Z178" i="4" s="1"/>
  <c r="E178" i="4"/>
  <c r="T178" i="4" s="1"/>
  <c r="M178" i="4"/>
  <c r="AB178" i="4" s="1"/>
  <c r="G178" i="4"/>
  <c r="V178" i="4" s="1"/>
  <c r="H178" i="4"/>
  <c r="W178" i="4" s="1"/>
  <c r="D178" i="4"/>
  <c r="S178" i="4" s="1"/>
  <c r="F178" i="4"/>
  <c r="U178" i="4" s="1"/>
  <c r="C178" i="4"/>
  <c r="R178" i="4" s="1"/>
  <c r="I178" i="4"/>
  <c r="X178" i="4" s="1"/>
  <c r="L178" i="4"/>
  <c r="AA178" i="4" s="1"/>
  <c r="J178" i="4"/>
  <c r="Y178" i="4" s="1"/>
  <c r="AC132" i="4" l="1"/>
  <c r="W132" i="4" s="1"/>
  <c r="AM132" i="4" s="1"/>
  <c r="AC86" i="4"/>
  <c r="N178" i="4"/>
  <c r="O178" i="4" s="1"/>
  <c r="AA132" i="4" l="1"/>
  <c r="AQ132" i="4" s="1"/>
  <c r="R86" i="4"/>
  <c r="AH86" i="4" s="1"/>
  <c r="T86" i="4"/>
  <c r="AJ86" i="4" s="1"/>
  <c r="Q86" i="4"/>
  <c r="Z86" i="4"/>
  <c r="AP86" i="4" s="1"/>
  <c r="AA86" i="4"/>
  <c r="AQ86" i="4" s="1"/>
  <c r="AC178" i="4"/>
  <c r="V86" i="4"/>
  <c r="V132" i="4"/>
  <c r="Y132" i="4"/>
  <c r="AO132" i="4" s="1"/>
  <c r="Q132" i="4"/>
  <c r="AG132" i="4" s="1"/>
  <c r="Z132" i="4"/>
  <c r="AP132" i="4" s="1"/>
  <c r="S132" i="4"/>
  <c r="AI132" i="4" s="1"/>
  <c r="R132" i="4"/>
  <c r="AH132" i="4" s="1"/>
  <c r="AB132" i="4"/>
  <c r="AR132" i="4" s="1"/>
  <c r="X132" i="4"/>
  <c r="AN132" i="4" s="1"/>
  <c r="T132" i="4"/>
  <c r="AJ132" i="4" s="1"/>
  <c r="U132" i="4"/>
  <c r="AK132" i="4" s="1"/>
  <c r="S86" i="4"/>
  <c r="AI86" i="4" s="1"/>
  <c r="W86" i="4"/>
  <c r="AM86" i="4" s="1"/>
  <c r="AB86" i="4"/>
  <c r="AR86" i="4" s="1"/>
  <c r="Y86" i="4"/>
  <c r="AO86" i="4" s="1"/>
  <c r="U86" i="4"/>
  <c r="AK86" i="4" s="1"/>
  <c r="X86" i="4"/>
  <c r="AN86" i="4" s="1"/>
  <c r="AM178" i="4" l="1"/>
  <c r="AN178" i="4" s="1"/>
  <c r="AD178" i="4"/>
  <c r="AL178" i="4"/>
  <c r="AL132" i="4"/>
  <c r="AS132" i="4" s="1"/>
  <c r="AD132" i="4"/>
  <c r="AE132" i="4" s="1"/>
  <c r="AE86" i="4"/>
  <c r="AL86" i="4"/>
  <c r="AD86" i="4"/>
  <c r="K179" i="4" s="1"/>
  <c r="Z179" i="4" s="1"/>
  <c r="AG86" i="4"/>
  <c r="AS86" i="4" l="1"/>
  <c r="G179" i="4"/>
  <c r="V179" i="4" s="1"/>
  <c r="D179" i="4"/>
  <c r="S179" i="4" s="1"/>
  <c r="L179" i="4"/>
  <c r="AA179" i="4" s="1"/>
  <c r="J179" i="4"/>
  <c r="Y179" i="4" s="1"/>
  <c r="F179" i="4"/>
  <c r="U179" i="4" s="1"/>
  <c r="C179" i="4"/>
  <c r="R179" i="4" s="1"/>
  <c r="I179" i="4"/>
  <c r="X179" i="4" s="1"/>
  <c r="M179" i="4"/>
  <c r="AB179" i="4" s="1"/>
  <c r="H179" i="4"/>
  <c r="W179" i="4" s="1"/>
  <c r="E179" i="4"/>
  <c r="T179" i="4" s="1"/>
  <c r="AC133" i="4" l="1"/>
  <c r="N179" i="4"/>
  <c r="O179" i="4" s="1"/>
  <c r="AC87" i="4"/>
  <c r="AA87" i="4" s="1"/>
  <c r="AQ87" i="4" s="1"/>
  <c r="X87" i="4" l="1"/>
  <c r="AN87" i="4" s="1"/>
  <c r="V87" i="4"/>
  <c r="AL87" i="4" s="1"/>
  <c r="Y133" i="4"/>
  <c r="AO133" i="4" s="1"/>
  <c r="Z133" i="4"/>
  <c r="AP133" i="4" s="1"/>
  <c r="AB133" i="4"/>
  <c r="AR133" i="4" s="1"/>
  <c r="Q133" i="4"/>
  <c r="AG133" i="4" s="1"/>
  <c r="S133" i="4"/>
  <c r="AI133" i="4" s="1"/>
  <c r="V133" i="4"/>
  <c r="R133" i="4"/>
  <c r="AH133" i="4" s="1"/>
  <c r="W133" i="4"/>
  <c r="AM133" i="4" s="1"/>
  <c r="U133" i="4"/>
  <c r="AK133" i="4" s="1"/>
  <c r="AA133" i="4"/>
  <c r="AQ133" i="4" s="1"/>
  <c r="AB87" i="4"/>
  <c r="AR87" i="4" s="1"/>
  <c r="Q87" i="4"/>
  <c r="Y87" i="4"/>
  <c r="W87" i="4"/>
  <c r="AM87" i="4" s="1"/>
  <c r="Z87" i="4"/>
  <c r="AP87" i="4" s="1"/>
  <c r="S87" i="4"/>
  <c r="AC179" i="4"/>
  <c r="X133" i="4"/>
  <c r="AN133" i="4" s="1"/>
  <c r="U87" i="4"/>
  <c r="AK87" i="4" s="1"/>
  <c r="R87" i="4"/>
  <c r="AH87" i="4" s="1"/>
  <c r="T87" i="4"/>
  <c r="AJ87" i="4" s="1"/>
  <c r="T133" i="4"/>
  <c r="AJ133" i="4" s="1"/>
  <c r="AD87" i="4" l="1"/>
  <c r="F180" i="4" s="1"/>
  <c r="U180" i="4" s="1"/>
  <c r="AG87" i="4"/>
  <c r="AM179" i="4"/>
  <c r="AN179" i="4" s="1"/>
  <c r="AL179" i="4"/>
  <c r="AD179" i="4"/>
  <c r="AO87" i="4"/>
  <c r="AL133" i="4"/>
  <c r="AS133" i="4" s="1"/>
  <c r="AD133" i="4"/>
  <c r="AE133" i="4" s="1"/>
  <c r="AI87" i="4"/>
  <c r="AE87" i="4"/>
  <c r="AS87" i="4" l="1"/>
  <c r="E180" i="4"/>
  <c r="T180" i="4" s="1"/>
  <c r="K180" i="4"/>
  <c r="Z180" i="4" s="1"/>
  <c r="D180" i="4"/>
  <c r="S180" i="4" s="1"/>
  <c r="L180" i="4"/>
  <c r="AA180" i="4" s="1"/>
  <c r="I180" i="4"/>
  <c r="X180" i="4" s="1"/>
  <c r="G180" i="4"/>
  <c r="V180" i="4" s="1"/>
  <c r="M180" i="4"/>
  <c r="AB180" i="4" s="1"/>
  <c r="H180" i="4"/>
  <c r="W180" i="4" s="1"/>
  <c r="J180" i="4"/>
  <c r="Y180" i="4" s="1"/>
  <c r="C180" i="4"/>
  <c r="R180" i="4" s="1"/>
  <c r="AC134" i="4" l="1"/>
  <c r="V134" i="4" s="1"/>
  <c r="AC88" i="4"/>
  <c r="AA88" i="4" s="1"/>
  <c r="AQ88" i="4" s="1"/>
  <c r="N180" i="4"/>
  <c r="O180" i="4" s="1"/>
  <c r="W88" i="4" l="1"/>
  <c r="AM88" i="4" s="1"/>
  <c r="Y134" i="4"/>
  <c r="AO134" i="4" s="1"/>
  <c r="T134" i="4"/>
  <c r="AJ134" i="4" s="1"/>
  <c r="AB134" i="4"/>
  <c r="AR134" i="4" s="1"/>
  <c r="AL134" i="4"/>
  <c r="Q88" i="4"/>
  <c r="V88" i="4"/>
  <c r="R88" i="4"/>
  <c r="AH88" i="4" s="1"/>
  <c r="T88" i="4"/>
  <c r="AJ88" i="4" s="1"/>
  <c r="U88" i="4"/>
  <c r="AK88" i="4" s="1"/>
  <c r="X88" i="4"/>
  <c r="AN88" i="4" s="1"/>
  <c r="Z88" i="4"/>
  <c r="AP88" i="4" s="1"/>
  <c r="S134" i="4"/>
  <c r="AI134" i="4" s="1"/>
  <c r="Y88" i="4"/>
  <c r="AO88" i="4" s="1"/>
  <c r="AB88" i="4"/>
  <c r="AR88" i="4" s="1"/>
  <c r="AA134" i="4"/>
  <c r="AQ134" i="4" s="1"/>
  <c r="W134" i="4"/>
  <c r="AM134" i="4" s="1"/>
  <c r="R134" i="4"/>
  <c r="AH134" i="4" s="1"/>
  <c r="S88" i="4"/>
  <c r="AI88" i="4" s="1"/>
  <c r="X134" i="4"/>
  <c r="AN134" i="4" s="1"/>
  <c r="Q134" i="4"/>
  <c r="AG134" i="4" s="1"/>
  <c r="U134" i="4"/>
  <c r="AK134" i="4" s="1"/>
  <c r="AC180" i="4"/>
  <c r="Z134" i="4"/>
  <c r="AP134" i="4" s="1"/>
  <c r="AD134" i="4" l="1"/>
  <c r="AE134" i="4" s="1"/>
  <c r="AS134" i="4"/>
  <c r="AL180" i="4"/>
  <c r="AD180" i="4"/>
  <c r="AM180" i="4"/>
  <c r="AN180" i="4" s="1"/>
  <c r="AE88" i="4"/>
  <c r="AL88" i="4"/>
  <c r="AD88" i="4"/>
  <c r="D181" i="4" s="1"/>
  <c r="S181" i="4" s="1"/>
  <c r="AG88" i="4"/>
  <c r="AS88" i="4" l="1"/>
  <c r="F181" i="4"/>
  <c r="U181" i="4" s="1"/>
  <c r="C181" i="4"/>
  <c r="R181" i="4" s="1"/>
  <c r="E181" i="4"/>
  <c r="T181" i="4" s="1"/>
  <c r="K181" i="4"/>
  <c r="Z181" i="4" s="1"/>
  <c r="L181" i="4"/>
  <c r="AA181" i="4" s="1"/>
  <c r="I181" i="4"/>
  <c r="X181" i="4" s="1"/>
  <c r="J181" i="4"/>
  <c r="Y181" i="4" s="1"/>
  <c r="M181" i="4"/>
  <c r="AB181" i="4" s="1"/>
  <c r="H181" i="4"/>
  <c r="W181" i="4" s="1"/>
  <c r="G181" i="4"/>
  <c r="V181" i="4" s="1"/>
  <c r="AC135" i="4" l="1"/>
  <c r="N181" i="4"/>
  <c r="O181" i="4" s="1"/>
  <c r="AC89" i="4"/>
  <c r="AA89" i="4" s="1"/>
  <c r="AQ89" i="4" s="1"/>
  <c r="Y89" i="4" l="1"/>
  <c r="AO89" i="4" s="1"/>
  <c r="X89" i="4"/>
  <c r="AN89" i="4" s="1"/>
  <c r="AB89" i="4"/>
  <c r="AR89" i="4" s="1"/>
  <c r="W135" i="4"/>
  <c r="AM135" i="4" s="1"/>
  <c r="Q135" i="4"/>
  <c r="AG135" i="4" s="1"/>
  <c r="Y135" i="4"/>
  <c r="AO135" i="4" s="1"/>
  <c r="AA135" i="4"/>
  <c r="AQ135" i="4" s="1"/>
  <c r="U135" i="4"/>
  <c r="AK135" i="4" s="1"/>
  <c r="S135" i="4"/>
  <c r="AI135" i="4" s="1"/>
  <c r="Z135" i="4"/>
  <c r="AP135" i="4" s="1"/>
  <c r="Q89" i="4"/>
  <c r="R89" i="4"/>
  <c r="U89" i="4"/>
  <c r="Z89" i="4"/>
  <c r="AP89" i="4" s="1"/>
  <c r="W89" i="4"/>
  <c r="S89" i="4"/>
  <c r="AI89" i="4" s="1"/>
  <c r="T89" i="4"/>
  <c r="V89" i="4"/>
  <c r="AB135" i="4"/>
  <c r="AR135" i="4" s="1"/>
  <c r="T135" i="4"/>
  <c r="AJ135" i="4" s="1"/>
  <c r="R135" i="4"/>
  <c r="AH135" i="4" s="1"/>
  <c r="AC181" i="4"/>
  <c r="X135" i="4"/>
  <c r="AN135" i="4" s="1"/>
  <c r="V135" i="4"/>
  <c r="AH89" i="4" l="1"/>
  <c r="AM89" i="4"/>
  <c r="AG89" i="4"/>
  <c r="AD89" i="4"/>
  <c r="D182" i="4" s="1"/>
  <c r="S182" i="4" s="1"/>
  <c r="AL181" i="4"/>
  <c r="AD181" i="4"/>
  <c r="AM181" i="4"/>
  <c r="AN181" i="4" s="1"/>
  <c r="AL89" i="4"/>
  <c r="AE89" i="4"/>
  <c r="AD135" i="4"/>
  <c r="AE135" i="4" s="1"/>
  <c r="AL135" i="4"/>
  <c r="AS135" i="4" s="1"/>
  <c r="AJ89" i="4"/>
  <c r="AK89" i="4"/>
  <c r="G182" i="4" l="1"/>
  <c r="V182" i="4" s="1"/>
  <c r="E182" i="4"/>
  <c r="T182" i="4" s="1"/>
  <c r="F182" i="4"/>
  <c r="U182" i="4" s="1"/>
  <c r="C182" i="4"/>
  <c r="R182" i="4" s="1"/>
  <c r="AS89" i="4"/>
  <c r="L182" i="4"/>
  <c r="AA182" i="4" s="1"/>
  <c r="K182" i="4"/>
  <c r="Z182" i="4" s="1"/>
  <c r="J182" i="4"/>
  <c r="Y182" i="4" s="1"/>
  <c r="H182" i="4"/>
  <c r="W182" i="4" s="1"/>
  <c r="M182" i="4"/>
  <c r="AB182" i="4" s="1"/>
  <c r="I182" i="4"/>
  <c r="X182" i="4" s="1"/>
  <c r="N182" i="4" l="1"/>
  <c r="O182" i="4" s="1"/>
  <c r="AC136" i="4"/>
  <c r="Y136" i="4" s="1"/>
  <c r="AC182" i="4"/>
  <c r="AD182" i="4" s="1"/>
  <c r="AC90" i="4"/>
  <c r="Z136" i="4" l="1"/>
  <c r="X136" i="4"/>
  <c r="Z90" i="4"/>
  <c r="AP90" i="4" s="1"/>
  <c r="R90" i="4"/>
  <c r="S90" i="4"/>
  <c r="AI90" i="4" s="1"/>
  <c r="Y90" i="4"/>
  <c r="AO90" i="4" s="1"/>
  <c r="T90" i="4"/>
  <c r="AJ90" i="4" s="1"/>
  <c r="U90" i="4"/>
  <c r="AK90" i="4" s="1"/>
  <c r="V90" i="4"/>
  <c r="W90" i="4"/>
  <c r="AM90" i="4" s="1"/>
  <c r="AA90" i="4"/>
  <c r="AQ90" i="4" s="1"/>
  <c r="Q90" i="4"/>
  <c r="AB90" i="4"/>
  <c r="AR90" i="4" s="1"/>
  <c r="X90" i="4"/>
  <c r="U136" i="4"/>
  <c r="T136" i="4"/>
  <c r="AA136" i="4"/>
  <c r="W136" i="4"/>
  <c r="Q136" i="4"/>
  <c r="S136" i="4"/>
  <c r="R136" i="4"/>
  <c r="AB136" i="4"/>
  <c r="V136" i="4"/>
  <c r="AD136" i="4" l="1"/>
  <c r="AE136" i="4" s="1"/>
  <c r="AN90" i="4"/>
  <c r="AD90" i="4"/>
  <c r="G183" i="4" s="1"/>
  <c r="V183" i="4" s="1"/>
  <c r="AG90" i="4"/>
  <c r="AH90" i="4"/>
  <c r="AE90" i="4"/>
  <c r="AL90" i="4"/>
  <c r="J183" i="4" l="1"/>
  <c r="Y183" i="4" s="1"/>
  <c r="H183" i="4"/>
  <c r="W183" i="4" s="1"/>
  <c r="D183" i="4"/>
  <c r="S183" i="4" s="1"/>
  <c r="AS90" i="4"/>
  <c r="L183" i="4"/>
  <c r="AA183" i="4" s="1"/>
  <c r="K183" i="4"/>
  <c r="Z183" i="4" s="1"/>
  <c r="I183" i="4"/>
  <c r="X183" i="4" s="1"/>
  <c r="F183" i="4"/>
  <c r="U183" i="4" s="1"/>
  <c r="E183" i="4"/>
  <c r="T183" i="4" s="1"/>
  <c r="M183" i="4"/>
  <c r="AB183" i="4" s="1"/>
  <c r="C183" i="4"/>
  <c r="R183" i="4" s="1"/>
  <c r="AC91" i="4" l="1"/>
  <c r="X91" i="4" s="1"/>
  <c r="AN91" i="4" s="1"/>
  <c r="N183" i="4"/>
  <c r="O183" i="4" s="1"/>
  <c r="AC137" i="4"/>
  <c r="T137" i="4" l="1"/>
  <c r="AJ137" i="4" s="1"/>
  <c r="U137" i="4"/>
  <c r="AK137" i="4" s="1"/>
  <c r="Z137" i="4"/>
  <c r="AP137" i="4" s="1"/>
  <c r="W137" i="4"/>
  <c r="AM137" i="4" s="1"/>
  <c r="AB137" i="4"/>
  <c r="AR137" i="4" s="1"/>
  <c r="S137" i="4"/>
  <c r="AI137" i="4" s="1"/>
  <c r="V137" i="4"/>
  <c r="X137" i="4"/>
  <c r="AN137" i="4" s="1"/>
  <c r="Y137" i="4"/>
  <c r="AO137" i="4" s="1"/>
  <c r="Q137" i="4"/>
  <c r="AG137" i="4" s="1"/>
  <c r="R137" i="4"/>
  <c r="AH137" i="4" s="1"/>
  <c r="AC183" i="4"/>
  <c r="AA137" i="4"/>
  <c r="AQ137" i="4" s="1"/>
  <c r="U91" i="4"/>
  <c r="S91" i="4"/>
  <c r="Z91" i="4"/>
  <c r="AP91" i="4" s="1"/>
  <c r="AB91" i="4"/>
  <c r="AR91" i="4" s="1"/>
  <c r="AA91" i="4"/>
  <c r="AQ91" i="4" s="1"/>
  <c r="T91" i="4"/>
  <c r="AJ91" i="4" s="1"/>
  <c r="Y91" i="4"/>
  <c r="AO91" i="4" s="1"/>
  <c r="W91" i="4"/>
  <c r="AM91" i="4" s="1"/>
  <c r="V91" i="4"/>
  <c r="R91" i="4"/>
  <c r="AH91" i="4" s="1"/>
  <c r="Q91" i="4"/>
  <c r="AG91" i="4" l="1"/>
  <c r="AD91" i="4"/>
  <c r="L184" i="4" s="1"/>
  <c r="AA184" i="4" s="1"/>
  <c r="AM183" i="4"/>
  <c r="AL183" i="4"/>
  <c r="AD183" i="4"/>
  <c r="AI91" i="4"/>
  <c r="AD137" i="4"/>
  <c r="AE137" i="4" s="1"/>
  <c r="AL137" i="4"/>
  <c r="AS137" i="4" s="1"/>
  <c r="AE91" i="4"/>
  <c r="AL91" i="4"/>
  <c r="AK91" i="4"/>
  <c r="G184" i="4" l="1"/>
  <c r="V184" i="4" s="1"/>
  <c r="K184" i="4"/>
  <c r="Z184" i="4" s="1"/>
  <c r="I184" i="4"/>
  <c r="X184" i="4" s="1"/>
  <c r="E184" i="4"/>
  <c r="T184" i="4" s="1"/>
  <c r="AN183" i="4"/>
  <c r="J184" i="4"/>
  <c r="Y184" i="4" s="1"/>
  <c r="M184" i="4"/>
  <c r="AB184" i="4" s="1"/>
  <c r="F184" i="4"/>
  <c r="U184" i="4" s="1"/>
  <c r="H184" i="4"/>
  <c r="W184" i="4" s="1"/>
  <c r="C184" i="4"/>
  <c r="R184" i="4" s="1"/>
  <c r="D184" i="4"/>
  <c r="S184" i="4" s="1"/>
  <c r="AS91" i="4"/>
  <c r="AC92" i="4" l="1"/>
  <c r="Q92" i="4" s="1"/>
  <c r="AC138" i="4"/>
  <c r="Y138" i="4" s="1"/>
  <c r="AO138" i="4" s="1"/>
  <c r="N184" i="4"/>
  <c r="O184" i="4" s="1"/>
  <c r="AB92" i="4" l="1"/>
  <c r="AR92" i="4" s="1"/>
  <c r="T92" i="4"/>
  <c r="AJ92" i="4" s="1"/>
  <c r="U138" i="4"/>
  <c r="AK138" i="4" s="1"/>
  <c r="S138" i="4"/>
  <c r="AI138" i="4" s="1"/>
  <c r="Z138" i="4"/>
  <c r="AP138" i="4" s="1"/>
  <c r="W138" i="4"/>
  <c r="AM138" i="4" s="1"/>
  <c r="AB138" i="4"/>
  <c r="AR138" i="4" s="1"/>
  <c r="X138" i="4"/>
  <c r="AN138" i="4" s="1"/>
  <c r="AA138" i="4"/>
  <c r="AQ138" i="4" s="1"/>
  <c r="Q138" i="4"/>
  <c r="AG138" i="4" s="1"/>
  <c r="V138" i="4"/>
  <c r="T138" i="4"/>
  <c r="AJ138" i="4" s="1"/>
  <c r="R138" i="4"/>
  <c r="AH138" i="4" s="1"/>
  <c r="AA92" i="4"/>
  <c r="W92" i="4"/>
  <c r="Z92" i="4"/>
  <c r="R92" i="4"/>
  <c r="U92" i="4"/>
  <c r="V92" i="4"/>
  <c r="Y92" i="4"/>
  <c r="X92" i="4"/>
  <c r="S92" i="4"/>
  <c r="AC184" i="4"/>
  <c r="AH92" i="4" l="1"/>
  <c r="AQ92" i="4"/>
  <c r="AO92" i="4"/>
  <c r="AL184" i="4"/>
  <c r="AM184" i="4"/>
  <c r="AM92" i="4"/>
  <c r="AN92" i="4"/>
  <c r="AP92" i="4"/>
  <c r="AI92" i="4"/>
  <c r="AK92" i="4"/>
  <c r="AD138" i="4"/>
  <c r="AE138" i="4" s="1"/>
  <c r="AL138" i="4"/>
  <c r="AE92" i="4"/>
  <c r="AL92" i="4"/>
  <c r="AD92" i="4"/>
  <c r="F185" i="4" s="1"/>
  <c r="U185" i="4" s="1"/>
  <c r="AG92" i="4"/>
  <c r="AD184" i="4"/>
  <c r="D185" i="4" l="1"/>
  <c r="S185" i="4" s="1"/>
  <c r="C185" i="4"/>
  <c r="R185" i="4" s="1"/>
  <c r="K185" i="4"/>
  <c r="Z185" i="4" s="1"/>
  <c r="M185" i="4"/>
  <c r="AB185" i="4" s="1"/>
  <c r="AN184" i="4"/>
  <c r="G185" i="4"/>
  <c r="V185" i="4" s="1"/>
  <c r="L185" i="4"/>
  <c r="AA185" i="4" s="1"/>
  <c r="I185" i="4"/>
  <c r="X185" i="4" s="1"/>
  <c r="E185" i="4"/>
  <c r="T185" i="4" s="1"/>
  <c r="J185" i="4"/>
  <c r="Y185" i="4" s="1"/>
  <c r="H185" i="4"/>
  <c r="W185" i="4" s="1"/>
  <c r="AS138" i="4"/>
  <c r="AS92" i="4"/>
  <c r="AC139" i="4" l="1"/>
  <c r="Q139" i="4" s="1"/>
  <c r="N185" i="4"/>
  <c r="O185" i="4" s="1"/>
  <c r="AC93" i="4"/>
  <c r="V93" i="4" s="1"/>
  <c r="W139" i="4" l="1"/>
  <c r="AM139" i="4" s="1"/>
  <c r="Z139" i="4"/>
  <c r="AP139" i="4" s="1"/>
  <c r="AA139" i="4"/>
  <c r="AQ139" i="4" s="1"/>
  <c r="T139" i="4"/>
  <c r="AJ139" i="4" s="1"/>
  <c r="T93" i="4"/>
  <c r="AJ93" i="4" s="1"/>
  <c r="V139" i="4"/>
  <c r="AL139" i="4" s="1"/>
  <c r="S139" i="4"/>
  <c r="AI139" i="4" s="1"/>
  <c r="R139" i="4"/>
  <c r="AH139" i="4" s="1"/>
  <c r="AB139" i="4"/>
  <c r="AR139" i="4" s="1"/>
  <c r="X139" i="4"/>
  <c r="AN139" i="4" s="1"/>
  <c r="S93" i="4"/>
  <c r="W93" i="4"/>
  <c r="Y139" i="4"/>
  <c r="AO139" i="4" s="1"/>
  <c r="AG139" i="4"/>
  <c r="U139" i="4"/>
  <c r="AK139" i="4" s="1"/>
  <c r="AL93" i="4"/>
  <c r="Z93" i="4"/>
  <c r="Q93" i="4"/>
  <c r="U93" i="4"/>
  <c r="AB93" i="4"/>
  <c r="AR93" i="4" s="1"/>
  <c r="X93" i="4"/>
  <c r="R93" i="4"/>
  <c r="AA93" i="4"/>
  <c r="Y93" i="4"/>
  <c r="AC185" i="4"/>
  <c r="AS139" i="4" l="1"/>
  <c r="AE93" i="4"/>
  <c r="AL185" i="4"/>
  <c r="AM185" i="4"/>
  <c r="AH93" i="4"/>
  <c r="AN93" i="4"/>
  <c r="AP93" i="4"/>
  <c r="AD139" i="4"/>
  <c r="AE139" i="4" s="1"/>
  <c r="AO93" i="4"/>
  <c r="AM93" i="4"/>
  <c r="AQ93" i="4"/>
  <c r="AK93" i="4"/>
  <c r="AI93" i="4"/>
  <c r="AD93" i="4"/>
  <c r="I186" i="4" s="1"/>
  <c r="AG93" i="4"/>
  <c r="AD185" i="4"/>
  <c r="X186" i="4" l="1"/>
  <c r="AS93" i="4"/>
  <c r="AN185" i="4"/>
  <c r="E186" i="4"/>
  <c r="M186" i="4"/>
  <c r="AB186" i="4" s="1"/>
  <c r="K186" i="4"/>
  <c r="J186" i="4"/>
  <c r="C186" i="4"/>
  <c r="D186" i="4"/>
  <c r="G186" i="4"/>
  <c r="H186" i="4"/>
  <c r="F186" i="4"/>
  <c r="L186" i="4"/>
  <c r="N186" i="4" l="1"/>
  <c r="U186" i="4"/>
  <c r="T186" i="4"/>
  <c r="W186" i="4"/>
  <c r="Y186" i="4"/>
  <c r="V186" i="4"/>
  <c r="Z186" i="4"/>
  <c r="R186" i="4"/>
  <c r="AA186" i="4"/>
  <c r="S186" i="4"/>
  <c r="AC140" i="4"/>
  <c r="W140" i="4" s="1"/>
  <c r="AM140" i="4" s="1"/>
  <c r="AC94" i="4"/>
  <c r="V94" i="4" s="1"/>
  <c r="AO192" i="4"/>
  <c r="D198" i="4" s="1"/>
  <c r="F198" i="4" s="1"/>
  <c r="AA140" i="4" l="1"/>
  <c r="AQ140" i="4" s="1"/>
  <c r="R140" i="4"/>
  <c r="V140" i="4"/>
  <c r="AL140" i="4" s="1"/>
  <c r="R94" i="4"/>
  <c r="U140" i="4"/>
  <c r="S94" i="4"/>
  <c r="Y94" i="4"/>
  <c r="Y140" i="4"/>
  <c r="AO140" i="4" s="1"/>
  <c r="T140" i="4"/>
  <c r="AB140" i="4"/>
  <c r="AR140" i="4" s="1"/>
  <c r="Q140" i="4"/>
  <c r="X140" i="4"/>
  <c r="AN140" i="4" s="1"/>
  <c r="S140" i="4"/>
  <c r="Z140" i="4"/>
  <c r="AP140" i="4" s="1"/>
  <c r="T94" i="4"/>
  <c r="Q94" i="4"/>
  <c r="X94" i="4"/>
  <c r="Z94" i="4"/>
  <c r="AL94" i="4"/>
  <c r="U94" i="4"/>
  <c r="AA94" i="4"/>
  <c r="W94" i="4"/>
  <c r="O186" i="4"/>
  <c r="AC186" i="4"/>
  <c r="AI140" i="4" l="1"/>
  <c r="AJ140" i="4"/>
  <c r="AK140" i="4"/>
  <c r="AG140" i="4"/>
  <c r="Q141" i="4"/>
  <c r="R141" i="4" s="1"/>
  <c r="S141" i="4" s="1"/>
  <c r="T141" i="4" s="1"/>
  <c r="U141" i="4" s="1"/>
  <c r="V141" i="4" s="1"/>
  <c r="W141" i="4" s="1"/>
  <c r="X141" i="4" s="1"/>
  <c r="Y141" i="4" s="1"/>
  <c r="Z141" i="4" s="1"/>
  <c r="AA141" i="4" s="1"/>
  <c r="AB141" i="4" s="1"/>
  <c r="AH140" i="4"/>
  <c r="AL186" i="4"/>
  <c r="AM186" i="4"/>
  <c r="AQ94" i="4"/>
  <c r="AN94" i="4"/>
  <c r="AI94" i="4"/>
  <c r="AK94" i="4"/>
  <c r="AH94" i="4"/>
  <c r="AM94" i="4"/>
  <c r="AP94" i="4"/>
  <c r="AJ94" i="4"/>
  <c r="AO94" i="4"/>
  <c r="AD140" i="4"/>
  <c r="AE140" i="4" s="1"/>
  <c r="AE94" i="4"/>
  <c r="AD94" i="4"/>
  <c r="H187" i="4" s="1"/>
  <c r="AG94" i="4"/>
  <c r="AD186" i="4"/>
  <c r="AS143" i="4" l="1"/>
  <c r="C199" i="4" s="1"/>
  <c r="AS140" i="4"/>
  <c r="AS142" i="4" s="1"/>
  <c r="I187" i="4"/>
  <c r="X187" i="4" s="1"/>
  <c r="F187" i="4"/>
  <c r="U187" i="4" s="1"/>
  <c r="AS94" i="4"/>
  <c r="AT97" i="4" s="1"/>
  <c r="D200" i="4" s="1"/>
  <c r="F200" i="4" s="1"/>
  <c r="AN186" i="4"/>
  <c r="AN192" i="4" s="1"/>
  <c r="AM192" i="4"/>
  <c r="AL192" i="4"/>
  <c r="AL194" i="4"/>
  <c r="AN194" i="4" s="1"/>
  <c r="C198" i="4" s="1"/>
  <c r="G198" i="4" s="1"/>
  <c r="W187" i="4"/>
  <c r="C187" i="4"/>
  <c r="J187" i="4"/>
  <c r="K187" i="4"/>
  <c r="L187" i="4"/>
  <c r="D187" i="4"/>
  <c r="G187" i="4"/>
  <c r="E187" i="4"/>
  <c r="M187" i="4"/>
  <c r="AS98" i="4"/>
  <c r="C200" i="4" s="1"/>
  <c r="AT142" i="4" l="1"/>
  <c r="D199" i="4" s="1"/>
  <c r="F199" i="4" s="1"/>
  <c r="G199" i="4" s="1"/>
  <c r="N187" i="4"/>
  <c r="C202" i="4"/>
  <c r="AS97" i="4"/>
  <c r="T187" i="4"/>
  <c r="W194" i="4"/>
  <c r="Y187" i="4"/>
  <c r="S187" i="4"/>
  <c r="R187" i="4"/>
  <c r="Z187" i="4"/>
  <c r="V187" i="4"/>
  <c r="X194" i="4"/>
  <c r="X197" i="4" s="1"/>
  <c r="U194" i="4"/>
  <c r="AB187" i="4"/>
  <c r="AA187" i="4"/>
  <c r="G200" i="4"/>
  <c r="AC187" i="4" l="1"/>
  <c r="AD187" i="4" s="1"/>
  <c r="F202" i="4"/>
  <c r="O187" i="4"/>
  <c r="Z194" i="4"/>
  <c r="W197" i="4"/>
  <c r="U197" i="4"/>
  <c r="V194" i="4"/>
  <c r="V197" i="4" s="1"/>
  <c r="R194" i="4"/>
  <c r="AB194" i="4"/>
  <c r="T194" i="4"/>
  <c r="S194" i="4"/>
  <c r="AA194" i="4"/>
  <c r="Y194" i="4"/>
  <c r="Y197" i="4" s="1"/>
  <c r="Q192" i="4" l="1"/>
  <c r="AC194" i="4"/>
  <c r="AC197" i="4" s="1"/>
  <c r="T192" i="4"/>
  <c r="AB192" i="4"/>
  <c r="AA197" i="4"/>
  <c r="T197" i="4"/>
  <c r="B4" i="5"/>
  <c r="W192" i="4"/>
  <c r="X192" i="4"/>
  <c r="U192" i="4"/>
  <c r="V192" i="4"/>
  <c r="S197" i="4"/>
  <c r="R192" i="4"/>
  <c r="Z192" i="4"/>
  <c r="AB197" i="4"/>
  <c r="Y192" i="4"/>
  <c r="AA192" i="4"/>
  <c r="S192" i="4"/>
  <c r="R197" i="4"/>
  <c r="Z197" i="4"/>
  <c r="Q199" i="4" l="1"/>
  <c r="AA195" i="4"/>
  <c r="T199" i="4"/>
  <c r="T193" i="4"/>
  <c r="B6" i="5"/>
  <c r="B11" i="5" s="1"/>
  <c r="B14" i="5" s="1"/>
  <c r="B16" i="5" s="1"/>
  <c r="Y196" i="4"/>
  <c r="AB195" i="4"/>
  <c r="V195" i="4"/>
  <c r="S195" i="4"/>
  <c r="Z195" i="4"/>
  <c r="T195" i="4"/>
  <c r="S196" i="4"/>
  <c r="V196" i="4"/>
  <c r="Y195" i="4"/>
  <c r="R195" i="4"/>
  <c r="R196" i="4"/>
  <c r="AC192" i="4"/>
  <c r="U193" i="4"/>
  <c r="W193" i="4"/>
  <c r="Y193" i="4"/>
  <c r="X199" i="4"/>
  <c r="V193" i="4"/>
  <c r="V199" i="4"/>
  <c r="Q193" i="4"/>
  <c r="R193" i="4"/>
  <c r="S193" i="4"/>
  <c r="X193" i="4"/>
  <c r="U196" i="4"/>
  <c r="Q195" i="4"/>
  <c r="Q196" i="4"/>
  <c r="W196" i="4"/>
  <c r="X195" i="4"/>
  <c r="U195" i="4"/>
  <c r="X196" i="4"/>
  <c r="W195" i="4"/>
  <c r="T196" i="4"/>
  <c r="R199" i="4" l="1"/>
  <c r="B19" i="5"/>
  <c r="B18" i="5"/>
  <c r="X200" i="4"/>
  <c r="T200" i="4"/>
  <c r="V200" i="4"/>
  <c r="AC193" i="4"/>
  <c r="Q200" i="4"/>
  <c r="AC195" i="4"/>
  <c r="L49" i="4" l="1"/>
  <c r="M49" i="4"/>
  <c r="K49" i="4"/>
  <c r="F49" i="4"/>
  <c r="C49" i="4"/>
  <c r="E49" i="4"/>
  <c r="H49" i="4"/>
  <c r="J49" i="4"/>
  <c r="G49" i="4"/>
  <c r="I49" i="4"/>
  <c r="B49" i="4" l="1"/>
  <c r="D49" i="4"/>
  <c r="N49" i="4" l="1"/>
</calcChain>
</file>

<file path=xl/comments1.xml><?xml version="1.0" encoding="utf-8"?>
<comments xmlns="http://schemas.openxmlformats.org/spreadsheetml/2006/main">
  <authors>
    <author>Dressel, Sherri C (DFG)</author>
  </authors>
  <commentList>
    <comment ref="N95" authorId="0">
      <text>
        <r>
          <rPr>
            <b/>
            <sz val="9"/>
            <color indexed="81"/>
            <rFont val="Tahoma"/>
            <family val="2"/>
          </rPr>
          <t>Dressel, Sherri C (DFG):</t>
        </r>
        <r>
          <rPr>
            <sz val="9"/>
            <color indexed="81"/>
            <rFont val="Tahoma"/>
            <family val="2"/>
          </rPr>
          <t xml:space="preserve">
from Salomone et al. 2017</t>
        </r>
      </text>
    </comment>
    <comment ref="AJ187" authorId="0">
      <text>
        <r>
          <rPr>
            <b/>
            <sz val="9"/>
            <color indexed="81"/>
            <rFont val="Tahoma"/>
            <family val="2"/>
          </rPr>
          <t xml:space="preserve">Dressel, Sherri C (DFG):
11-25-17 </t>
        </r>
        <r>
          <rPr>
            <sz val="9"/>
            <color indexed="81"/>
            <rFont val="Tahoma"/>
            <family val="2"/>
          </rPr>
          <t>included imaginary harvest before peak - need to fix</t>
        </r>
      </text>
    </comment>
    <comment ref="B189" authorId="0">
      <text>
        <r>
          <rPr>
            <b/>
            <sz val="9"/>
            <color indexed="81"/>
            <rFont val="Tahoma"/>
            <family val="2"/>
          </rPr>
          <t>Dressel, Sherri C (DFG):</t>
        </r>
        <r>
          <rPr>
            <sz val="9"/>
            <color indexed="81"/>
            <rFont val="Tahoma"/>
            <family val="2"/>
          </rPr>
          <t xml:space="preserve">
10-yr median excluding most recent two years due to low precision</t>
        </r>
      </text>
    </comment>
  </commentList>
</comments>
</file>

<file path=xl/sharedStrings.xml><?xml version="1.0" encoding="utf-8"?>
<sst xmlns="http://schemas.openxmlformats.org/spreadsheetml/2006/main" count="232" uniqueCount="130">
  <si>
    <t>ASA.XLS - AGE STRUCTURED ANALYSIS</t>
  </si>
  <si>
    <t>Togiak</t>
  </si>
  <si>
    <t>Performs age-structured analysis, tuning to catch-at-age,</t>
  </si>
  <si>
    <t>survey numbers at age, and/or survey age distributions.</t>
  </si>
  <si>
    <t>ASSUMED KNOWN DATA (not directly tuned to)</t>
  </si>
  <si>
    <t>OBSERVED CATCH (millions of fish)</t>
  </si>
  <si>
    <t>Gillnet</t>
  </si>
  <si>
    <t>OBSERVED WEIGHT AT AGE</t>
  </si>
  <si>
    <t>Purse seine and Total Run</t>
  </si>
  <si>
    <t>AGE</t>
  </si>
  <si>
    <t>YEAR</t>
  </si>
  <si>
    <t xml:space="preserve">  </t>
  </si>
  <si>
    <t>Shaded cells include all greater ages (e.g. 9+)</t>
  </si>
  <si>
    <t>Impllies Gompertz average growth was used: no data or suspected bad data for cell</t>
  </si>
  <si>
    <t>Est.</t>
  </si>
  <si>
    <t>OBSERVED AGE COMPOSITION OF CATCH:</t>
  </si>
  <si>
    <t>Purse Seine</t>
  </si>
  <si>
    <t>%age comp by number</t>
  </si>
  <si>
    <t>Total</t>
  </si>
  <si>
    <t>ESTIMATED AGE COMPOSITION OF CATCH:</t>
  </si>
  <si>
    <t>Inter-</t>
  </si>
  <si>
    <t>AGE COMPOSITION RESIDUALS:</t>
  </si>
  <si>
    <t>Catch</t>
  </si>
  <si>
    <t>Med.</t>
  </si>
  <si>
    <t>15+</t>
  </si>
  <si>
    <t>(tonnes)</t>
  </si>
  <si>
    <t>x 106</t>
  </si>
  <si>
    <t>Weight</t>
  </si>
  <si>
    <t>9+</t>
  </si>
  <si>
    <t>Total SSQ:</t>
  </si>
  <si>
    <t>N:</t>
  </si>
  <si>
    <t>OBSERVED   AGE COMPOSITION OF TOTAL RUN (PRE FISHERY)</t>
  </si>
  <si>
    <t>ESTIMATED  AGE COMPOSITION OF TOTAL RUN (PRE FISHERY)</t>
  </si>
  <si>
    <t>Total Run</t>
  </si>
  <si>
    <t xml:space="preserve">  (intermediate stage table.....for computing age comp.. best as percentage)</t>
  </si>
  <si>
    <t>diff.</t>
  </si>
  <si>
    <t>ESTIMATED PRE-FISHERY TOTAL POPULATION ABUNDANCE (millions of fish)</t>
  </si>
  <si>
    <t>ESTIMATED AERIAL SURVEY (MATURE) BIOMASS ( tonnes)</t>
  </si>
  <si>
    <t>Uses estimated aerial survey maturity schedule</t>
  </si>
  <si>
    <t>ESTIMATED BIOMASS RESIDUALS (tonnes)</t>
  </si>
  <si>
    <t>Observed Aerial Survey</t>
  </si>
  <si>
    <t>Log</t>
  </si>
  <si>
    <t>Squared</t>
  </si>
  <si>
    <t>Use this graph in Forecast summary</t>
  </si>
  <si>
    <t>(tons)</t>
  </si>
  <si>
    <t>sh. tons</t>
  </si>
  <si>
    <t>tonnes</t>
  </si>
  <si>
    <t>Residual</t>
  </si>
  <si>
    <t>&lt;-- 1977 is post-fishery</t>
  </si>
  <si>
    <t>Sac Roe Harvest</t>
  </si>
  <si>
    <t>Forecast age comp by weight</t>
  </si>
  <si>
    <t>Total SSQ</t>
  </si>
  <si>
    <t>No.s of Fish</t>
  </si>
  <si>
    <t>RESIDUAL SUMMARY AND WEIGHTING</t>
  </si>
  <si>
    <t>Forecast Weight</t>
  </si>
  <si>
    <t>Current</t>
  </si>
  <si>
    <t>Scaled and Weighted'</t>
  </si>
  <si>
    <t>age 4 - 6</t>
  </si>
  <si>
    <t>age 7 - 8</t>
  </si>
  <si>
    <t>N</t>
  </si>
  <si>
    <t>SSQ's</t>
  </si>
  <si>
    <t>SSQ</t>
  </si>
  <si>
    <t>MSE</t>
  </si>
  <si>
    <t>by wt</t>
  </si>
  <si>
    <t xml:space="preserve">   </t>
  </si>
  <si>
    <t>Aerial Biomass</t>
  </si>
  <si>
    <t>by no.</t>
  </si>
  <si>
    <t>CURRENT PARAMETER ESTIMATES</t>
  </si>
  <si>
    <t>SCALED PARAMETER ESTIMATES</t>
  </si>
  <si>
    <t>Copy the initial cohort sizes, highlighted, and past special values in cell af175-this is your starting point</t>
  </si>
  <si>
    <t>INITIAL COHORT SIZES</t>
  </si>
  <si>
    <t>14_</t>
  </si>
  <si>
    <t>15_</t>
  </si>
  <si>
    <t>SURVIVAL/MORTALITY RATES</t>
  </si>
  <si>
    <t xml:space="preserve">Survival     </t>
  </si>
  <si>
    <t xml:space="preserve">      Inst. Mortality</t>
  </si>
  <si>
    <t>Max</t>
  </si>
  <si>
    <t>M:</t>
  </si>
  <si>
    <t>Slope</t>
  </si>
  <si>
    <t>&lt;- at age 15</t>
  </si>
  <si>
    <t>Use</t>
  </si>
  <si>
    <t>Range</t>
  </si>
  <si>
    <t>Value</t>
  </si>
  <si>
    <t xml:space="preserve">Copy </t>
  </si>
  <si>
    <t>Only</t>
  </si>
  <si>
    <t>GEAR VULNERABILITY FUNCTION COEFFICIENTS</t>
  </si>
  <si>
    <t xml:space="preserve">             Function</t>
  </si>
  <si>
    <t xml:space="preserve">    Parameters</t>
  </si>
  <si>
    <t>Type</t>
  </si>
  <si>
    <t>a</t>
  </si>
  <si>
    <t>b</t>
  </si>
  <si>
    <t>Logistic</t>
  </si>
  <si>
    <t>Total Run - Early</t>
  </si>
  <si>
    <t>Total Run - Late</t>
  </si>
  <si>
    <t>AGE-SPECIFIC FUNCTION VALUES</t>
  </si>
  <si>
    <t>Survival</t>
  </si>
  <si>
    <t xml:space="preserve"> </t>
  </si>
  <si>
    <t>Fishing Gear Vulnerabilities</t>
  </si>
  <si>
    <t>Seine</t>
  </si>
  <si>
    <t>Total Run Age Composition Sampling Gear Vulnerabilities</t>
  </si>
  <si>
    <t>Gillnet Selectivity Estimated from 1990-1995 Gillnet Catch at Age:</t>
  </si>
  <si>
    <r>
      <t>a</t>
    </r>
    <r>
      <rPr>
        <b/>
        <sz val="9"/>
        <color indexed="8"/>
        <rFont val="Arial"/>
        <family val="2"/>
      </rPr>
      <t>1998</t>
    </r>
  </si>
  <si>
    <r>
      <t xml:space="preserve">a  </t>
    </r>
    <r>
      <rPr>
        <sz val="9"/>
        <rFont val="Arial"/>
        <family val="2"/>
      </rPr>
      <t xml:space="preserve">Total number of fish dropped by 20 when age comp reapportioned due to missing data </t>
    </r>
  </si>
  <si>
    <r>
      <t>2001</t>
    </r>
    <r>
      <rPr>
        <b/>
        <vertAlign val="superscript"/>
        <sz val="9"/>
        <rFont val="Arial"/>
        <family val="2"/>
      </rPr>
      <t>a</t>
    </r>
  </si>
  <si>
    <t>% age comp by number of fish</t>
  </si>
  <si>
    <t>% No. of Fish</t>
  </si>
  <si>
    <t>% No. of Fish (12+ binned)</t>
  </si>
  <si>
    <t>Tons</t>
  </si>
  <si>
    <t>Biomass Estimate</t>
  </si>
  <si>
    <t>Total allowable Harvest</t>
  </si>
  <si>
    <t>Togiak Spawn on Kelp Fishery</t>
  </si>
  <si>
    <t>(Fixed Allocation)</t>
  </si>
  <si>
    <t>Remaining Allowable Harvest</t>
  </si>
  <si>
    <t>Dutch Harbor Food/Bait Allocation</t>
  </si>
  <si>
    <t>(7% of remaining allocation)</t>
  </si>
  <si>
    <t>Togiak District Sac Roe Fishery</t>
  </si>
  <si>
    <t>Purse Seine Allocation 70%</t>
  </si>
  <si>
    <t>Gillnet Allocation 30%</t>
  </si>
  <si>
    <t>age 9-11</t>
  </si>
  <si>
    <t>age 12+</t>
  </si>
  <si>
    <t>Forecast age comp by weight (12+ binned)</t>
  </si>
  <si>
    <t>Description</t>
  </si>
  <si>
    <t>(20% maximum exploitation)</t>
  </si>
  <si>
    <t>FORECAST</t>
  </si>
  <si>
    <t>Change initial Values to 1. Then use solver to minimize cell F182</t>
  </si>
  <si>
    <t>input</t>
  </si>
  <si>
    <t>Togiak Herring Biomas &amp; Harvest</t>
  </si>
  <si>
    <t>number of fish in mature pop</t>
  </si>
  <si>
    <t>ave wt of mature fish in 2016 (weighted by age comp)</t>
  </si>
  <si>
    <t>= added or changed 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</si>
</sst>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0.0"/>
    <numFmt numFmtId="165" formatCode="0.0000"/>
    <numFmt numFmtId="166" formatCode="0.00000"/>
    <numFmt numFmtId="167" formatCode="0.0%"/>
    <numFmt numFmtId="168" formatCode="#,##0.0"/>
    <numFmt numFmtId="169" formatCode=".00"/>
    <numFmt numFmtId="170" formatCode="0.000"/>
    <numFmt numFmtId="171" formatCode="#,##0.000"/>
    <numFmt numFmtId="172" formatCode="0_)"/>
    <numFmt numFmtId="173" formatCode="0.0000000"/>
  </numFmts>
  <fonts count="8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sz val="9"/>
      <color indexed="61"/>
      <name val="Arial"/>
      <family val="2"/>
    </font>
    <font>
      <sz val="9"/>
      <color indexed="61"/>
      <name val="Arial"/>
      <family val="2"/>
    </font>
    <font>
      <sz val="9"/>
      <color indexed="10"/>
      <name val="Arial"/>
      <family val="2"/>
    </font>
    <font>
      <b/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sz val="9"/>
      <color indexed="48"/>
      <name val="Arial"/>
      <family val="2"/>
    </font>
    <font>
      <b/>
      <sz val="9"/>
      <color indexed="48"/>
      <name val="Arial"/>
      <family val="2"/>
    </font>
    <font>
      <b/>
      <sz val="9"/>
      <color indexed="10"/>
      <name val="Arial"/>
      <family val="2"/>
    </font>
    <font>
      <vertAlign val="superscript"/>
      <sz val="9"/>
      <name val="Arial"/>
      <family val="2"/>
    </font>
    <font>
      <sz val="9"/>
      <color indexed="8"/>
      <name val="Arial"/>
      <family val="2"/>
    </font>
    <font>
      <sz val="9"/>
      <color indexed="56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b/>
      <vertAlign val="superscript"/>
      <sz val="9"/>
      <color indexed="10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b/>
      <i/>
      <sz val="9"/>
      <color indexed="39"/>
      <name val="Arial"/>
      <family val="2"/>
    </font>
    <font>
      <sz val="9"/>
      <color indexed="12"/>
      <name val="Arial"/>
      <family val="2"/>
    </font>
    <font>
      <sz val="9"/>
      <color indexed="58"/>
      <name val="Arial"/>
      <family val="2"/>
    </font>
    <font>
      <b/>
      <sz val="9"/>
      <name val="Times New Roman"/>
      <family val="1"/>
    </font>
    <font>
      <sz val="9"/>
      <name val="Helv"/>
    </font>
    <font>
      <sz val="9"/>
      <color indexed="10"/>
      <name val="Helv"/>
    </font>
    <font>
      <sz val="9"/>
      <color indexed="16"/>
      <name val="Arial"/>
      <family val="2"/>
    </font>
    <font>
      <b/>
      <i/>
      <sz val="9"/>
      <color indexed="16"/>
      <name val="Arial"/>
      <family val="2"/>
    </font>
    <font>
      <b/>
      <sz val="9"/>
      <color indexed="16"/>
      <name val="Arial"/>
      <family val="2"/>
    </font>
    <font>
      <sz val="10"/>
      <color indexed="16"/>
      <name val="Helv"/>
    </font>
    <font>
      <i/>
      <sz val="9"/>
      <color indexed="16"/>
      <name val="Arial"/>
      <family val="2"/>
    </font>
    <font>
      <b/>
      <sz val="11"/>
      <name val="Arial"/>
      <family val="2"/>
    </font>
    <font>
      <sz val="10"/>
      <color indexed="16"/>
      <name val="Arial"/>
      <family val="2"/>
    </font>
    <font>
      <sz val="12"/>
      <name val="SWISS"/>
    </font>
    <font>
      <sz val="9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2"/>
      <name val="Arial"/>
      <family val="2"/>
    </font>
    <font>
      <sz val="12"/>
      <color indexed="58"/>
      <name val="Times New Roman"/>
      <family val="1"/>
    </font>
    <font>
      <sz val="12"/>
      <color indexed="10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0"/>
      <color indexed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62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ck">
        <color indexed="61"/>
      </left>
      <right/>
      <top style="thick">
        <color indexed="61"/>
      </top>
      <bottom/>
      <diagonal/>
    </border>
    <border>
      <left/>
      <right/>
      <top style="thick">
        <color indexed="61"/>
      </top>
      <bottom/>
      <diagonal/>
    </border>
    <border>
      <left style="thick">
        <color indexed="61"/>
      </left>
      <right/>
      <top/>
      <bottom/>
      <diagonal/>
    </border>
    <border>
      <left style="thick">
        <color indexed="6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1"/>
      </left>
      <right/>
      <top/>
      <bottom style="thick">
        <color indexed="61"/>
      </bottom>
      <diagonal/>
    </border>
    <border>
      <left/>
      <right/>
      <top/>
      <bottom style="thick">
        <color indexed="6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37"/>
      </left>
      <right style="medium">
        <color indexed="37"/>
      </right>
      <top style="medium">
        <color indexed="37"/>
      </top>
      <bottom style="medium">
        <color indexed="37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1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9360">
    <xf numFmtId="0" fontId="0" fillId="0" borderId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20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21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8" fillId="6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8" borderId="0" applyNumberFormat="0" applyBorder="0" applyAlignment="0" applyProtection="0"/>
    <xf numFmtId="0" fontId="58" fillId="6" borderId="0" applyNumberFormat="0" applyBorder="0" applyAlignment="0" applyProtection="0"/>
    <xf numFmtId="0" fontId="58" fillId="3" borderId="0" applyNumberFormat="0" applyBorder="0" applyAlignment="0" applyProtection="0"/>
    <xf numFmtId="0" fontId="58" fillId="11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2" borderId="0" applyNumberFormat="0" applyBorder="0" applyAlignment="0" applyProtection="0"/>
    <xf numFmtId="0" fontId="58" fillId="22" borderId="0" applyNumberFormat="0" applyBorder="0" applyAlignment="0" applyProtection="0"/>
    <xf numFmtId="0" fontId="58" fillId="13" borderId="0" applyNumberFormat="0" applyBorder="0" applyAlignment="0" applyProtection="0"/>
    <xf numFmtId="0" fontId="59" fillId="14" borderId="0" applyNumberFormat="0" applyBorder="0" applyAlignment="0" applyProtection="0"/>
    <xf numFmtId="0" fontId="60" fillId="15" borderId="54" applyNumberFormat="0" applyAlignment="0" applyProtection="0"/>
    <xf numFmtId="0" fontId="61" fillId="23" borderId="55" applyNumberFormat="0" applyAlignment="0" applyProtection="0"/>
    <xf numFmtId="43" fontId="5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39" fillId="0" borderId="0" applyFont="0" applyFill="0" applyBorder="0" applyAlignment="0" applyProtection="0"/>
    <xf numFmtId="4" fontId="6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6" borderId="0" applyNumberFormat="0" applyBorder="0" applyAlignment="0" applyProtection="0"/>
    <xf numFmtId="0" fontId="64" fillId="0" borderId="1" applyNumberFormat="0" applyFill="0" applyAlignment="0" applyProtection="0"/>
    <xf numFmtId="0" fontId="65" fillId="0" borderId="2" applyNumberFormat="0" applyFill="0" applyAlignment="0" applyProtection="0"/>
    <xf numFmtId="0" fontId="66" fillId="0" borderId="3" applyNumberFormat="0" applyFill="0" applyAlignment="0" applyProtection="0"/>
    <xf numFmtId="0" fontId="66" fillId="0" borderId="0" applyNumberFormat="0" applyFill="0" applyBorder="0" applyAlignment="0" applyProtection="0"/>
    <xf numFmtId="0" fontId="67" fillId="7" borderId="54" applyNumberFormat="0" applyAlignment="0" applyProtection="0"/>
    <xf numFmtId="0" fontId="68" fillId="0" borderId="4" applyNumberFormat="0" applyFill="0" applyAlignment="0" applyProtection="0"/>
    <xf numFmtId="0" fontId="69" fillId="24" borderId="0" applyNumberFormat="0" applyBorder="0" applyAlignment="0" applyProtection="0"/>
    <xf numFmtId="0" fontId="5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3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3" fillId="0" borderId="0"/>
    <xf numFmtId="0" fontId="51" fillId="0" borderId="0"/>
    <xf numFmtId="0" fontId="39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9" fillId="0" borderId="0"/>
    <xf numFmtId="0" fontId="6" fillId="0" borderId="0"/>
    <xf numFmtId="0" fontId="42" fillId="0" borderId="0"/>
    <xf numFmtId="0" fontId="43" fillId="0" borderId="0"/>
    <xf numFmtId="0" fontId="39" fillId="0" borderId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54" fillId="25" borderId="56" applyNumberFormat="0" applyFont="0" applyAlignment="0" applyProtection="0"/>
    <xf numFmtId="0" fontId="70" fillId="15" borderId="57" applyNumberFormat="0" applyAlignment="0" applyProtection="0"/>
    <xf numFmtId="9" fontId="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5" applyNumberFormat="0" applyFill="0" applyAlignment="0" applyProtection="0"/>
    <xf numFmtId="0" fontId="73" fillId="0" borderId="0" applyNumberFormat="0" applyFill="0" applyBorder="0" applyAlignment="0" applyProtection="0"/>
    <xf numFmtId="0" fontId="5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6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7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28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0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32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3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3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35" borderId="0" applyNumberFormat="0" applyBorder="0" applyAlignment="0" applyProtection="0"/>
    <xf numFmtId="0" fontId="58" fillId="36" borderId="0" applyNumberFormat="0" applyBorder="0" applyAlignment="0" applyProtection="0"/>
    <xf numFmtId="0" fontId="58" fillId="37" borderId="0" applyNumberFormat="0" applyBorder="0" applyAlignment="0" applyProtection="0"/>
    <xf numFmtId="0" fontId="58" fillId="38" borderId="0" applyNumberFormat="0" applyBorder="0" applyAlignment="0" applyProtection="0"/>
    <xf numFmtId="0" fontId="58" fillId="39" borderId="0" applyNumberFormat="0" applyBorder="0" applyAlignment="0" applyProtection="0"/>
    <xf numFmtId="0" fontId="58" fillId="40" borderId="0" applyNumberFormat="0" applyBorder="0" applyAlignment="0" applyProtection="0"/>
    <xf numFmtId="0" fontId="58" fillId="41" borderId="0" applyNumberFormat="0" applyBorder="0" applyAlignment="0" applyProtection="0"/>
    <xf numFmtId="0" fontId="58" fillId="42" borderId="0" applyNumberFormat="0" applyBorder="0" applyAlignment="0" applyProtection="0"/>
    <xf numFmtId="0" fontId="58" fillId="43" borderId="0" applyNumberFormat="0" applyBorder="0" applyAlignment="0" applyProtection="0"/>
    <xf numFmtId="0" fontId="58" fillId="44" borderId="0" applyNumberFormat="0" applyBorder="0" applyAlignment="0" applyProtection="0"/>
    <xf numFmtId="0" fontId="58" fillId="45" borderId="0" applyNumberFormat="0" applyBorder="0" applyAlignment="0" applyProtection="0"/>
    <xf numFmtId="0" fontId="58" fillId="46" borderId="0" applyNumberFormat="0" applyBorder="0" applyAlignment="0" applyProtection="0"/>
    <xf numFmtId="0" fontId="59" fillId="47" borderId="0" applyNumberFormat="0" applyBorder="0" applyAlignment="0" applyProtection="0"/>
    <xf numFmtId="0" fontId="74" fillId="48" borderId="54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3" fillId="49" borderId="0" applyNumberFormat="0" applyBorder="0" applyAlignment="0" applyProtection="0"/>
    <xf numFmtId="0" fontId="75" fillId="0" borderId="58" applyNumberFormat="0" applyFill="0" applyAlignment="0" applyProtection="0"/>
    <xf numFmtId="0" fontId="76" fillId="0" borderId="59" applyNumberFormat="0" applyFill="0" applyAlignment="0" applyProtection="0"/>
    <xf numFmtId="0" fontId="77" fillId="0" borderId="60" applyNumberFormat="0" applyFill="0" applyAlignment="0" applyProtection="0"/>
    <xf numFmtId="0" fontId="77" fillId="0" borderId="0" applyNumberFormat="0" applyFill="0" applyBorder="0" applyAlignment="0" applyProtection="0"/>
    <xf numFmtId="0" fontId="67" fillId="50" borderId="54" applyNumberFormat="0" applyAlignment="0" applyProtection="0"/>
    <xf numFmtId="0" fontId="78" fillId="0" borderId="61" applyNumberFormat="0" applyFill="0" applyAlignment="0" applyProtection="0"/>
    <xf numFmtId="0" fontId="79" fillId="24" borderId="0" applyNumberFormat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4" fillId="25" borderId="56" applyNumberFormat="0" applyFont="0" applyAlignment="0" applyProtection="0"/>
    <xf numFmtId="0" fontId="70" fillId="48" borderId="57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0" fillId="0" borderId="0" applyNumberFormat="0" applyFill="0" applyBorder="0" applyAlignment="0" applyProtection="0"/>
    <xf numFmtId="0" fontId="72" fillId="0" borderId="62" applyNumberFormat="0" applyFill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5" fillId="0" borderId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5" fillId="0" borderId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9" fontId="5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5" fillId="0" borderId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5" fillId="0" borderId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5" borderId="56" applyNumberFormat="0" applyFont="0" applyAlignment="0" applyProtection="0"/>
    <xf numFmtId="0" fontId="4" fillId="26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20" borderId="0" applyNumberFormat="0" applyBorder="0" applyAlignment="0" applyProtection="0"/>
    <xf numFmtId="0" fontId="4" fillId="34" borderId="0" applyNumberFormat="0" applyBorder="0" applyAlignment="0" applyProtection="0"/>
    <xf numFmtId="0" fontId="4" fillId="30" borderId="0" applyNumberFormat="0" applyBorder="0" applyAlignment="0" applyProtection="0"/>
    <xf numFmtId="0" fontId="4" fillId="35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0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33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25" borderId="56" applyNumberFormat="0" applyFont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20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35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9" fillId="0" borderId="0"/>
    <xf numFmtId="0" fontId="2" fillId="25" borderId="56" applyNumberFormat="0" applyFont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1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20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5" borderId="0" applyNumberFormat="0" applyBorder="0" applyAlignment="0" applyProtection="0"/>
    <xf numFmtId="0" fontId="1" fillId="0" borderId="0"/>
  </cellStyleXfs>
  <cellXfs count="747">
    <xf numFmtId="0" fontId="0" fillId="0" borderId="0" xfId="0"/>
    <xf numFmtId="0" fontId="7" fillId="0" borderId="0" xfId="2529" applyFont="1"/>
    <xf numFmtId="0" fontId="8" fillId="0" borderId="0" xfId="2529" applyFont="1"/>
    <xf numFmtId="0" fontId="9" fillId="0" borderId="0" xfId="2529" applyFont="1"/>
    <xf numFmtId="16" fontId="8" fillId="0" borderId="0" xfId="2529" applyNumberFormat="1" applyFont="1"/>
    <xf numFmtId="0" fontId="8" fillId="0" borderId="0" xfId="2529" applyFont="1" applyBorder="1"/>
    <xf numFmtId="0" fontId="8" fillId="0" borderId="0" xfId="2529" applyFont="1" applyFill="1"/>
    <xf numFmtId="0" fontId="8" fillId="0" borderId="0" xfId="2529" applyFont="1" applyFill="1" applyBorder="1"/>
    <xf numFmtId="0" fontId="10" fillId="0" borderId="6" xfId="2529" applyFont="1" applyBorder="1"/>
    <xf numFmtId="0" fontId="11" fillId="0" borderId="7" xfId="2529" applyFont="1" applyBorder="1"/>
    <xf numFmtId="0" fontId="8" fillId="0" borderId="7" xfId="2529" applyFont="1" applyBorder="1"/>
    <xf numFmtId="0" fontId="8" fillId="0" borderId="7" xfId="2529" applyFont="1" applyFill="1" applyBorder="1" applyAlignment="1">
      <alignment horizontal="right"/>
    </xf>
    <xf numFmtId="0" fontId="8" fillId="0" borderId="7" xfId="2529" applyFont="1" applyFill="1" applyBorder="1"/>
    <xf numFmtId="0" fontId="8" fillId="0" borderId="7" xfId="2529" quotePrefix="1" applyFont="1" applyFill="1" applyBorder="1" applyAlignment="1">
      <alignment horizontal="left"/>
    </xf>
    <xf numFmtId="0" fontId="8" fillId="0" borderId="8" xfId="2529" applyFont="1" applyBorder="1"/>
    <xf numFmtId="0" fontId="8" fillId="0" borderId="0" xfId="2529" applyFont="1" applyFill="1" applyBorder="1" applyAlignment="1">
      <alignment horizontal="right"/>
    </xf>
    <xf numFmtId="0" fontId="12" fillId="0" borderId="0" xfId="2529" applyFont="1" applyFill="1"/>
    <xf numFmtId="3" fontId="8" fillId="0" borderId="0" xfId="2529" applyNumberFormat="1" applyFont="1" applyFill="1" applyBorder="1"/>
    <xf numFmtId="0" fontId="8" fillId="0" borderId="9" xfId="2529" applyFont="1" applyBorder="1"/>
    <xf numFmtId="0" fontId="8" fillId="0" borderId="10" xfId="2529" applyFont="1" applyBorder="1"/>
    <xf numFmtId="0" fontId="8" fillId="0" borderId="11" xfId="2529" applyFont="1" applyBorder="1"/>
    <xf numFmtId="0" fontId="7" fillId="0" borderId="12" xfId="2529" applyFont="1" applyBorder="1"/>
    <xf numFmtId="0" fontId="8" fillId="0" borderId="0" xfId="2529" quotePrefix="1" applyFont="1" applyBorder="1" applyAlignment="1">
      <alignment horizontal="left"/>
    </xf>
    <xf numFmtId="0" fontId="8" fillId="0" borderId="0" xfId="2529" applyFont="1" applyBorder="1" applyAlignment="1">
      <alignment horizontal="right"/>
    </xf>
    <xf numFmtId="0" fontId="8" fillId="0" borderId="12" xfId="2529" quotePrefix="1" applyFont="1" applyBorder="1" applyAlignment="1">
      <alignment horizontal="left"/>
    </xf>
    <xf numFmtId="0" fontId="7" fillId="0" borderId="0" xfId="2529" applyFont="1" applyBorder="1"/>
    <xf numFmtId="0" fontId="8" fillId="0" borderId="12" xfId="2529" applyFont="1" applyBorder="1"/>
    <xf numFmtId="0" fontId="9" fillId="0" borderId="10" xfId="2529" applyFont="1" applyBorder="1" applyAlignment="1">
      <alignment horizontal="center"/>
    </xf>
    <xf numFmtId="0" fontId="8" fillId="0" borderId="10" xfId="2529" applyFont="1" applyBorder="1" applyAlignment="1">
      <alignment horizontal="right"/>
    </xf>
    <xf numFmtId="0" fontId="8" fillId="0" borderId="13" xfId="2529" applyFont="1" applyBorder="1"/>
    <xf numFmtId="0" fontId="9" fillId="0" borderId="0" xfId="2529" applyFont="1" applyFill="1" applyBorder="1" applyAlignment="1">
      <alignment horizontal="center"/>
    </xf>
    <xf numFmtId="0" fontId="7" fillId="0" borderId="14" xfId="2529" applyFont="1" applyBorder="1" applyAlignment="1">
      <alignment horizontal="center"/>
    </xf>
    <xf numFmtId="0" fontId="7" fillId="0" borderId="0" xfId="2529" applyFont="1" applyBorder="1" applyAlignment="1">
      <alignment horizontal="center"/>
    </xf>
    <xf numFmtId="0" fontId="9" fillId="0" borderId="14" xfId="2529" applyFont="1" applyBorder="1" applyAlignment="1">
      <alignment horizontal="right"/>
    </xf>
    <xf numFmtId="0" fontId="7" fillId="0" borderId="0" xfId="2529" applyFont="1" applyFill="1" applyBorder="1"/>
    <xf numFmtId="0" fontId="9" fillId="0" borderId="0" xfId="2529" applyFont="1" applyFill="1" applyBorder="1" applyAlignment="1">
      <alignment horizontal="right"/>
    </xf>
    <xf numFmtId="0" fontId="7" fillId="0" borderId="0" xfId="2529" applyFont="1" applyFill="1" applyBorder="1" applyAlignment="1">
      <alignment horizontal="center"/>
    </xf>
    <xf numFmtId="0" fontId="7" fillId="0" borderId="15" xfId="2529" applyFont="1" applyBorder="1"/>
    <xf numFmtId="170" fontId="8" fillId="0" borderId="16" xfId="2529" applyNumberFormat="1" applyFont="1" applyBorder="1" applyProtection="1"/>
    <xf numFmtId="170" fontId="8" fillId="1" borderId="16" xfId="2529" applyNumberFormat="1" applyFont="1" applyFill="1" applyBorder="1" applyProtection="1"/>
    <xf numFmtId="170" fontId="8" fillId="0" borderId="17" xfId="2529" applyNumberFormat="1" applyFont="1" applyBorder="1" applyProtection="1"/>
    <xf numFmtId="171" fontId="8" fillId="0" borderId="0" xfId="2529" applyNumberFormat="1" applyFont="1" applyBorder="1" applyAlignment="1">
      <alignment horizontal="right"/>
    </xf>
    <xf numFmtId="172" fontId="8" fillId="1" borderId="16" xfId="2529" applyNumberFormat="1" applyFont="1" applyFill="1" applyBorder="1" applyProtection="1"/>
    <xf numFmtId="172" fontId="8" fillId="1" borderId="17" xfId="2529" applyNumberFormat="1" applyFont="1" applyFill="1" applyBorder="1" applyProtection="1"/>
    <xf numFmtId="171" fontId="8" fillId="0" borderId="0" xfId="2529" applyNumberFormat="1" applyFont="1" applyFill="1" applyBorder="1" applyAlignment="1">
      <alignment horizontal="right"/>
    </xf>
    <xf numFmtId="165" fontId="8" fillId="0" borderId="0" xfId="2529" applyNumberFormat="1" applyFont="1" applyFill="1" applyBorder="1" applyAlignment="1">
      <alignment horizontal="right"/>
    </xf>
    <xf numFmtId="170" fontId="8" fillId="0" borderId="0" xfId="2529" applyNumberFormat="1" applyFont="1" applyBorder="1" applyProtection="1"/>
    <xf numFmtId="170" fontId="8" fillId="1" borderId="0" xfId="2529" applyNumberFormat="1" applyFont="1" applyFill="1" applyBorder="1" applyProtection="1"/>
    <xf numFmtId="170" fontId="8" fillId="0" borderId="19" xfId="2529" applyNumberFormat="1" applyFont="1" applyBorder="1" applyProtection="1"/>
    <xf numFmtId="172" fontId="8" fillId="1" borderId="0" xfId="2529" applyNumberFormat="1" applyFont="1" applyFill="1" applyBorder="1" applyProtection="1"/>
    <xf numFmtId="172" fontId="8" fillId="1" borderId="19" xfId="2529" applyNumberFormat="1" applyFont="1" applyFill="1" applyBorder="1" applyProtection="1"/>
    <xf numFmtId="172" fontId="8" fillId="0" borderId="0" xfId="2529" applyNumberFormat="1" applyFont="1" applyFill="1" applyBorder="1" applyProtection="1"/>
    <xf numFmtId="172" fontId="12" fillId="0" borderId="0" xfId="2529" applyNumberFormat="1" applyFont="1" applyFill="1" applyBorder="1" applyProtection="1"/>
    <xf numFmtId="0" fontId="7" fillId="0" borderId="18" xfId="2529" applyFont="1" applyBorder="1"/>
    <xf numFmtId="170" fontId="8" fillId="1" borderId="19" xfId="2529" applyNumberFormat="1" applyFont="1" applyFill="1" applyBorder="1" applyProtection="1"/>
    <xf numFmtId="172" fontId="8" fillId="0" borderId="19" xfId="2529" applyNumberFormat="1" applyFont="1" applyFill="1" applyBorder="1" applyAlignment="1" applyProtection="1">
      <alignment horizontal="right"/>
    </xf>
    <xf numFmtId="170" fontId="8" fillId="0" borderId="0" xfId="2529" applyNumberFormat="1" applyFont="1" applyBorder="1" applyAlignment="1">
      <alignment horizontal="right"/>
    </xf>
    <xf numFmtId="170" fontId="8" fillId="0" borderId="0" xfId="2529" applyNumberFormat="1" applyFont="1" applyBorder="1"/>
    <xf numFmtId="170" fontId="8" fillId="1" borderId="19" xfId="2529" applyNumberFormat="1" applyFont="1" applyFill="1" applyBorder="1"/>
    <xf numFmtId="0" fontId="6" fillId="0" borderId="0" xfId="2529"/>
    <xf numFmtId="171" fontId="8" fillId="0" borderId="19" xfId="2529" applyNumberFormat="1" applyFont="1" applyBorder="1" applyAlignment="1">
      <alignment horizontal="right"/>
    </xf>
    <xf numFmtId="3" fontId="8" fillId="0" borderId="0" xfId="2529" applyNumberFormat="1" applyFont="1" applyFill="1" applyBorder="1" applyAlignment="1">
      <alignment horizontal="right"/>
    </xf>
    <xf numFmtId="3" fontId="8" fillId="0" borderId="19" xfId="2529" applyNumberFormat="1" applyFont="1" applyFill="1" applyBorder="1" applyAlignment="1">
      <alignment horizontal="right"/>
    </xf>
    <xf numFmtId="3" fontId="8" fillId="0" borderId="0" xfId="2529" applyNumberFormat="1" applyFont="1" applyBorder="1" applyAlignment="1">
      <alignment horizontal="right"/>
    </xf>
    <xf numFmtId="1" fontId="8" fillId="0" borderId="0" xfId="2529" applyNumberFormat="1" applyFont="1" applyFill="1" applyBorder="1"/>
    <xf numFmtId="1" fontId="8" fillId="0" borderId="19" xfId="2529" applyNumberFormat="1" applyFont="1" applyFill="1" applyBorder="1"/>
    <xf numFmtId="171" fontId="12" fillId="0" borderId="0" xfId="2529" applyNumberFormat="1" applyFont="1" applyBorder="1" applyAlignment="1">
      <alignment horizontal="right"/>
    </xf>
    <xf numFmtId="0" fontId="7" fillId="0" borderId="20" xfId="2529" applyFont="1" applyFill="1" applyBorder="1"/>
    <xf numFmtId="170" fontId="8" fillId="0" borderId="0" xfId="2529" applyNumberFormat="1" applyFont="1" applyFill="1" applyBorder="1" applyProtection="1"/>
    <xf numFmtId="1" fontId="12" fillId="0" borderId="0" xfId="2529" applyNumberFormat="1" applyFont="1" applyFill="1"/>
    <xf numFmtId="1" fontId="15" fillId="0" borderId="0" xfId="2529" applyNumberFormat="1" applyFont="1" applyFill="1"/>
    <xf numFmtId="0" fontId="16" fillId="0" borderId="0" xfId="2529" applyFont="1" applyFill="1" applyBorder="1"/>
    <xf numFmtId="0" fontId="17" fillId="0" borderId="0" xfId="2529" applyFont="1" applyFill="1" applyBorder="1"/>
    <xf numFmtId="0" fontId="18" fillId="0" borderId="0" xfId="2529" applyFont="1" applyFill="1" applyBorder="1"/>
    <xf numFmtId="0" fontId="7" fillId="0" borderId="21" xfId="2529" applyFont="1" applyBorder="1"/>
    <xf numFmtId="0" fontId="8" fillId="0" borderId="22" xfId="2529" applyFont="1" applyBorder="1"/>
    <xf numFmtId="0" fontId="8" fillId="1" borderId="22" xfId="2529" applyFont="1" applyFill="1" applyBorder="1"/>
    <xf numFmtId="0" fontId="8" fillId="0" borderId="22" xfId="2529" applyFont="1" applyFill="1" applyBorder="1"/>
    <xf numFmtId="164" fontId="8" fillId="1" borderId="22" xfId="2529" applyNumberFormat="1" applyFont="1" applyFill="1" applyBorder="1"/>
    <xf numFmtId="164" fontId="8" fillId="0" borderId="22" xfId="2529" quotePrefix="1" applyNumberFormat="1" applyFont="1" applyBorder="1" applyAlignment="1">
      <alignment horizontal="left"/>
    </xf>
    <xf numFmtId="164" fontId="8" fillId="0" borderId="22" xfId="2529" applyNumberFormat="1" applyFont="1" applyBorder="1"/>
    <xf numFmtId="3" fontId="8" fillId="0" borderId="22" xfId="2529" applyNumberFormat="1" applyFont="1" applyBorder="1"/>
    <xf numFmtId="167" fontId="8" fillId="0" borderId="22" xfId="2529" applyNumberFormat="1" applyFont="1" applyBorder="1"/>
    <xf numFmtId="0" fontId="8" fillId="0" borderId="23" xfId="2529" applyFont="1" applyBorder="1"/>
    <xf numFmtId="165" fontId="8" fillId="0" borderId="0" xfId="2529" applyNumberFormat="1" applyFont="1" applyFill="1" applyBorder="1"/>
    <xf numFmtId="0" fontId="12" fillId="0" borderId="0" xfId="2529" applyFont="1"/>
    <xf numFmtId="164" fontId="9" fillId="0" borderId="0" xfId="2529" applyNumberFormat="1" applyFont="1" applyAlignment="1">
      <alignment horizontal="left"/>
    </xf>
    <xf numFmtId="0" fontId="8" fillId="0" borderId="0" xfId="2529" applyFont="1" applyAlignment="1">
      <alignment horizontal="center"/>
    </xf>
    <xf numFmtId="0" fontId="8" fillId="0" borderId="15" xfId="2529" applyFont="1" applyBorder="1" applyAlignment="1">
      <alignment horizontal="center"/>
    </xf>
    <xf numFmtId="0" fontId="7" fillId="0" borderId="15" xfId="2529" applyFont="1" applyBorder="1" applyAlignment="1">
      <alignment horizontal="center"/>
    </xf>
    <xf numFmtId="0" fontId="8" fillId="0" borderId="18" xfId="2529" applyFont="1" applyBorder="1" applyAlignment="1">
      <alignment horizontal="center"/>
    </xf>
    <xf numFmtId="0" fontId="8" fillId="0" borderId="12" xfId="2529" applyFont="1" applyBorder="1" applyAlignment="1">
      <alignment horizontal="left"/>
    </xf>
    <xf numFmtId="0" fontId="7" fillId="0" borderId="18" xfId="2529" applyFont="1" applyBorder="1" applyAlignment="1">
      <alignment horizontal="center"/>
    </xf>
    <xf numFmtId="0" fontId="8" fillId="0" borderId="11" xfId="2529" applyFont="1" applyBorder="1" applyAlignment="1">
      <alignment horizontal="right"/>
    </xf>
    <xf numFmtId="0" fontId="8" fillId="0" borderId="24" xfId="2529" applyFont="1" applyBorder="1" applyAlignment="1">
      <alignment horizontal="center"/>
    </xf>
    <xf numFmtId="0" fontId="8" fillId="0" borderId="14" xfId="2529" applyFont="1" applyBorder="1"/>
    <xf numFmtId="10" fontId="8" fillId="1" borderId="0" xfId="2732" applyNumberFormat="1" applyFont="1" applyFill="1" applyBorder="1" applyProtection="1"/>
    <xf numFmtId="3" fontId="12" fillId="0" borderId="18" xfId="2314" applyNumberFormat="1" applyFont="1" applyBorder="1" applyAlignment="1">
      <alignment horizontal="right"/>
    </xf>
    <xf numFmtId="3" fontId="8" fillId="0" borderId="0" xfId="2314" applyNumberFormat="1" applyFont="1" applyBorder="1" applyAlignment="1">
      <alignment horizontal="right"/>
    </xf>
    <xf numFmtId="10" fontId="8" fillId="0" borderId="25" xfId="2732" applyNumberFormat="1" applyFont="1" applyBorder="1" applyAlignment="1">
      <alignment horizontal="right"/>
    </xf>
    <xf numFmtId="10" fontId="8" fillId="0" borderId="16" xfId="2732" applyNumberFormat="1" applyFont="1" applyBorder="1" applyAlignment="1">
      <alignment horizontal="right"/>
    </xf>
    <xf numFmtId="10" fontId="8" fillId="1" borderId="16" xfId="2732" applyNumberFormat="1" applyFont="1" applyFill="1" applyBorder="1" applyAlignment="1">
      <alignment horizontal="right"/>
    </xf>
    <xf numFmtId="1" fontId="8" fillId="0" borderId="15" xfId="2529" applyNumberFormat="1" applyFont="1" applyBorder="1" applyAlignment="1">
      <alignment horizontal="right"/>
    </xf>
    <xf numFmtId="1" fontId="8" fillId="0" borderId="0" xfId="2529" applyNumberFormat="1" applyFont="1" applyBorder="1" applyAlignment="1">
      <alignment horizontal="right"/>
    </xf>
    <xf numFmtId="171" fontId="8" fillId="0" borderId="16" xfId="2529" applyNumberFormat="1" applyFont="1" applyBorder="1" applyAlignment="1">
      <alignment horizontal="right"/>
    </xf>
    <xf numFmtId="0" fontId="8" fillId="0" borderId="15" xfId="2529" applyFont="1" applyBorder="1"/>
    <xf numFmtId="10" fontId="8" fillId="0" borderId="20" xfId="2732" applyNumberFormat="1" applyFont="1" applyBorder="1" applyAlignment="1">
      <alignment horizontal="right"/>
    </xf>
    <xf numFmtId="10" fontId="8" fillId="1" borderId="0" xfId="2732" applyNumberFormat="1" applyFont="1" applyFill="1" applyBorder="1" applyAlignment="1">
      <alignment horizontal="right"/>
    </xf>
    <xf numFmtId="1" fontId="8" fillId="0" borderId="18" xfId="2529" applyNumberFormat="1" applyFont="1" applyBorder="1" applyAlignment="1">
      <alignment horizontal="right"/>
    </xf>
    <xf numFmtId="0" fontId="8" fillId="0" borderId="18" xfId="2529" applyFont="1" applyBorder="1"/>
    <xf numFmtId="10" fontId="8" fillId="0" borderId="20" xfId="2732" applyNumberFormat="1" applyFont="1" applyFill="1" applyBorder="1" applyAlignment="1">
      <alignment horizontal="right"/>
    </xf>
    <xf numFmtId="4" fontId="8" fillId="1" borderId="0" xfId="2314" applyFont="1" applyFill="1" applyBorder="1" applyAlignment="1">
      <alignment horizontal="right"/>
    </xf>
    <xf numFmtId="4" fontId="8" fillId="0" borderId="0" xfId="2314" applyFont="1" applyBorder="1" applyAlignment="1">
      <alignment horizontal="right"/>
    </xf>
    <xf numFmtId="10" fontId="8" fillId="0" borderId="0" xfId="2732" applyNumberFormat="1" applyFont="1" applyFill="1" applyBorder="1" applyProtection="1"/>
    <xf numFmtId="1" fontId="8" fillId="0" borderId="18" xfId="2529" applyNumberFormat="1" applyFont="1" applyFill="1" applyBorder="1" applyAlignment="1">
      <alignment horizontal="right"/>
    </xf>
    <xf numFmtId="171" fontId="19" fillId="0" borderId="0" xfId="2529" applyNumberFormat="1" applyFont="1" applyFill="1" applyBorder="1" applyAlignment="1">
      <alignment horizontal="right"/>
    </xf>
    <xf numFmtId="0" fontId="8" fillId="0" borderId="18" xfId="2529" applyFont="1" applyFill="1" applyBorder="1"/>
    <xf numFmtId="10" fontId="8" fillId="0" borderId="0" xfId="2732" applyNumberFormat="1" applyFont="1" applyFill="1" applyBorder="1"/>
    <xf numFmtId="4" fontId="8" fillId="0" borderId="0" xfId="2314" applyFont="1" applyFill="1" applyBorder="1" applyAlignment="1">
      <alignment horizontal="right"/>
    </xf>
    <xf numFmtId="170" fontId="8" fillId="0" borderId="0" xfId="2529" applyNumberFormat="1" applyFont="1" applyFill="1" applyBorder="1"/>
    <xf numFmtId="10" fontId="8" fillId="0" borderId="0" xfId="2529" applyNumberFormat="1" applyFont="1" applyFill="1" applyBorder="1" applyAlignment="1">
      <alignment horizontal="right"/>
    </xf>
    <xf numFmtId="10" fontId="8" fillId="0" borderId="0" xfId="2529" applyNumberFormat="1" applyFont="1" applyFill="1" applyBorder="1"/>
    <xf numFmtId="10" fontId="19" fillId="0" borderId="0" xfId="2732" applyNumberFormat="1" applyFont="1" applyFill="1" applyBorder="1"/>
    <xf numFmtId="10" fontId="8" fillId="0" borderId="0" xfId="2529" applyNumberFormat="1" applyFont="1" applyBorder="1"/>
    <xf numFmtId="167" fontId="8" fillId="0" borderId="0" xfId="2529" applyNumberFormat="1" applyFont="1" applyFill="1" applyBorder="1"/>
    <xf numFmtId="0" fontId="8" fillId="1" borderId="0" xfId="2529" applyFont="1" applyFill="1" applyBorder="1"/>
    <xf numFmtId="0" fontId="8" fillId="0" borderId="13" xfId="2529" quotePrefix="1" applyFont="1" applyBorder="1" applyAlignment="1">
      <alignment horizontal="left"/>
    </xf>
    <xf numFmtId="3" fontId="8" fillId="0" borderId="26" xfId="2529" applyNumberFormat="1" applyFont="1" applyBorder="1"/>
    <xf numFmtId="3" fontId="8" fillId="0" borderId="0" xfId="2529" applyNumberFormat="1" applyFont="1" applyBorder="1"/>
    <xf numFmtId="0" fontId="8" fillId="0" borderId="0" xfId="2529" quotePrefix="1" applyFont="1" applyFill="1" applyBorder="1" applyAlignment="1">
      <alignment horizontal="left"/>
    </xf>
    <xf numFmtId="0" fontId="8" fillId="0" borderId="24" xfId="2529" applyFont="1" applyBorder="1"/>
    <xf numFmtId="167" fontId="8" fillId="0" borderId="16" xfId="2529" applyNumberFormat="1" applyFont="1" applyBorder="1"/>
    <xf numFmtId="167" fontId="8" fillId="1" borderId="16" xfId="2529" applyNumberFormat="1" applyFont="1" applyFill="1" applyBorder="1"/>
    <xf numFmtId="167" fontId="8" fillId="0" borderId="16" xfId="2529" applyNumberFormat="1" applyFont="1" applyBorder="1" applyProtection="1"/>
    <xf numFmtId="167" fontId="8" fillId="0" borderId="17" xfId="2529" applyNumberFormat="1" applyFont="1" applyBorder="1" applyProtection="1"/>
    <xf numFmtId="2" fontId="8" fillId="0" borderId="0" xfId="2529" applyNumberFormat="1" applyFont="1"/>
    <xf numFmtId="1" fontId="8" fillId="0" borderId="15" xfId="2529" applyNumberFormat="1" applyFont="1" applyFill="1" applyBorder="1" applyAlignment="1">
      <alignment horizontal="right"/>
    </xf>
    <xf numFmtId="4" fontId="8" fillId="0" borderId="0" xfId="2529" applyNumberFormat="1" applyFont="1" applyFill="1" applyBorder="1" applyAlignment="1">
      <alignment horizontal="right"/>
    </xf>
    <xf numFmtId="168" fontId="8" fillId="0" borderId="0" xfId="2529" applyNumberFormat="1" applyFont="1" applyFill="1" applyBorder="1" applyAlignment="1">
      <alignment horizontal="right"/>
    </xf>
    <xf numFmtId="2" fontId="8" fillId="0" borderId="16" xfId="2529" applyNumberFormat="1" applyFont="1" applyBorder="1" applyAlignment="1">
      <alignment horizontal="right"/>
    </xf>
    <xf numFmtId="2" fontId="8" fillId="0" borderId="0" xfId="2529" applyNumberFormat="1" applyFont="1" applyBorder="1" applyAlignment="1">
      <alignment horizontal="right"/>
    </xf>
    <xf numFmtId="2" fontId="8" fillId="0" borderId="0" xfId="2529" applyNumberFormat="1" applyFont="1" applyBorder="1"/>
    <xf numFmtId="167" fontId="8" fillId="0" borderId="0" xfId="2529" applyNumberFormat="1" applyFont="1" applyBorder="1"/>
    <xf numFmtId="167" fontId="8" fillId="1" borderId="0" xfId="2529" applyNumberFormat="1" applyFont="1" applyFill="1" applyBorder="1"/>
    <xf numFmtId="167" fontId="8" fillId="0" borderId="0" xfId="2529" applyNumberFormat="1" applyFont="1" applyBorder="1" applyProtection="1"/>
    <xf numFmtId="167" fontId="8" fillId="0" borderId="19" xfId="2529" applyNumberFormat="1" applyFont="1" applyBorder="1" applyProtection="1"/>
    <xf numFmtId="2" fontId="8" fillId="0" borderId="0" xfId="2529" applyNumberFormat="1" applyFont="1" applyFill="1" applyBorder="1"/>
    <xf numFmtId="2" fontId="8" fillId="0" borderId="0" xfId="2529" applyNumberFormat="1" applyFont="1" applyBorder="1" applyAlignment="1">
      <alignment horizontal="left"/>
    </xf>
    <xf numFmtId="2" fontId="8" fillId="0" borderId="0" xfId="2529" applyNumberFormat="1" applyFont="1" applyFill="1" applyBorder="1" applyAlignment="1">
      <alignment horizontal="right"/>
    </xf>
    <xf numFmtId="167" fontId="8" fillId="1" borderId="0" xfId="2529" applyNumberFormat="1" applyFont="1" applyFill="1" applyBorder="1" applyProtection="1"/>
    <xf numFmtId="2" fontId="19" fillId="1" borderId="0" xfId="2529" applyNumberFormat="1" applyFont="1" applyFill="1" applyBorder="1" applyAlignment="1">
      <alignment horizontal="right"/>
    </xf>
    <xf numFmtId="2" fontId="19" fillId="0" borderId="0" xfId="2529" applyNumberFormat="1" applyFont="1" applyFill="1" applyBorder="1"/>
    <xf numFmtId="2" fontId="19" fillId="0" borderId="0" xfId="2529" applyNumberFormat="1" applyFont="1" applyBorder="1" applyAlignment="1">
      <alignment horizontal="left"/>
    </xf>
    <xf numFmtId="2" fontId="19" fillId="0" borderId="0" xfId="2529" applyNumberFormat="1" applyFont="1" applyBorder="1"/>
    <xf numFmtId="2" fontId="19" fillId="0" borderId="0" xfId="2529" applyNumberFormat="1" applyFont="1" applyBorder="1" applyAlignment="1">
      <alignment horizontal="right"/>
    </xf>
    <xf numFmtId="9" fontId="8" fillId="0" borderId="15" xfId="2732" applyFont="1" applyBorder="1" applyAlignment="1">
      <alignment horizontal="center"/>
    </xf>
    <xf numFmtId="1" fontId="8" fillId="0" borderId="0" xfId="2529" applyNumberFormat="1" applyFont="1"/>
    <xf numFmtId="10" fontId="8" fillId="0" borderId="0" xfId="2529" applyNumberFormat="1" applyFont="1" applyBorder="1" applyAlignment="1">
      <alignment horizontal="right"/>
    </xf>
    <xf numFmtId="0" fontId="21" fillId="0" borderId="18" xfId="2529" applyFont="1" applyBorder="1"/>
    <xf numFmtId="10" fontId="19" fillId="0" borderId="0" xfId="2732" applyNumberFormat="1" applyFont="1" applyBorder="1"/>
    <xf numFmtId="10" fontId="20" fillId="0" borderId="0" xfId="2732" applyNumberFormat="1" applyFont="1" applyBorder="1"/>
    <xf numFmtId="165" fontId="8" fillId="0" borderId="0" xfId="2529" applyNumberFormat="1" applyFont="1" applyBorder="1" applyAlignment="1">
      <alignment horizontal="right"/>
    </xf>
    <xf numFmtId="0" fontId="8" fillId="0" borderId="19" xfId="2529" applyFont="1" applyBorder="1"/>
    <xf numFmtId="0" fontId="7" fillId="0" borderId="18" xfId="2529" applyFont="1" applyFill="1" applyBorder="1" applyAlignment="1">
      <alignment horizontal="right"/>
    </xf>
    <xf numFmtId="0" fontId="8" fillId="0" borderId="26" xfId="2529" applyFont="1" applyBorder="1"/>
    <xf numFmtId="170" fontId="8" fillId="0" borderId="0" xfId="2529" applyNumberFormat="1" applyFont="1" applyFill="1" applyBorder="1" applyAlignment="1">
      <alignment horizontal="right"/>
    </xf>
    <xf numFmtId="0" fontId="8" fillId="0" borderId="27" xfId="2529" applyFont="1" applyBorder="1"/>
    <xf numFmtId="0" fontId="8" fillId="0" borderId="28" xfId="2529" applyFont="1" applyBorder="1"/>
    <xf numFmtId="165" fontId="8" fillId="0" borderId="28" xfId="2529" applyNumberFormat="1" applyFont="1" applyBorder="1"/>
    <xf numFmtId="0" fontId="8" fillId="0" borderId="29" xfId="2529" applyFont="1" applyBorder="1"/>
    <xf numFmtId="0" fontId="23" fillId="0" borderId="0" xfId="2529" applyFont="1" applyBorder="1"/>
    <xf numFmtId="164" fontId="8" fillId="0" borderId="0" xfId="2529" applyNumberFormat="1" applyFont="1" applyBorder="1"/>
    <xf numFmtId="1" fontId="8" fillId="0" borderId="0" xfId="2529" applyNumberFormat="1" applyFont="1" applyBorder="1"/>
    <xf numFmtId="0" fontId="8" fillId="0" borderId="30" xfId="2529" quotePrefix="1" applyFont="1" applyBorder="1" applyAlignment="1">
      <alignment horizontal="left"/>
    </xf>
    <xf numFmtId="0" fontId="8" fillId="0" borderId="31" xfId="2529" applyFont="1" applyBorder="1"/>
    <xf numFmtId="3" fontId="8" fillId="0" borderId="31" xfId="2529" applyNumberFormat="1" applyFont="1" applyBorder="1"/>
    <xf numFmtId="0" fontId="8" fillId="0" borderId="32" xfId="2529" applyFont="1" applyBorder="1"/>
    <xf numFmtId="165" fontId="8" fillId="0" borderId="0" xfId="2529" applyNumberFormat="1" applyFont="1"/>
    <xf numFmtId="2" fontId="8" fillId="0" borderId="11" xfId="2529" applyNumberFormat="1" applyFont="1" applyBorder="1"/>
    <xf numFmtId="0" fontId="24" fillId="0" borderId="10" xfId="2529" applyFont="1" applyBorder="1"/>
    <xf numFmtId="2" fontId="24" fillId="0" borderId="10" xfId="2529" applyNumberFormat="1" applyFont="1" applyBorder="1"/>
    <xf numFmtId="0" fontId="24" fillId="0" borderId="11" xfId="2529" applyFont="1" applyBorder="1"/>
    <xf numFmtId="0" fontId="7" fillId="0" borderId="10" xfId="2529" applyFont="1" applyBorder="1" applyAlignment="1">
      <alignment horizontal="center"/>
    </xf>
    <xf numFmtId="0" fontId="7" fillId="0" borderId="12" xfId="2529" applyFont="1" applyBorder="1" applyAlignment="1">
      <alignment horizontal="centerContinuous"/>
    </xf>
    <xf numFmtId="0" fontId="8" fillId="0" borderId="11" xfId="2529" applyFont="1" applyBorder="1" applyAlignment="1">
      <alignment horizontal="centerContinuous"/>
    </xf>
    <xf numFmtId="0" fontId="8" fillId="0" borderId="12" xfId="2529" applyFont="1" applyBorder="1" applyAlignment="1">
      <alignment horizontal="centerContinuous"/>
    </xf>
    <xf numFmtId="0" fontId="8" fillId="0" borderId="16" xfId="2529" applyFont="1" applyBorder="1"/>
    <xf numFmtId="0" fontId="8" fillId="0" borderId="14" xfId="2529" applyFont="1" applyBorder="1" applyAlignment="1">
      <alignment horizontal="center"/>
    </xf>
    <xf numFmtId="0" fontId="27" fillId="0" borderId="16" xfId="2529" applyFont="1" applyBorder="1" applyAlignment="1">
      <alignment horizontal="center"/>
    </xf>
    <xf numFmtId="0" fontId="7" fillId="0" borderId="16" xfId="2529" applyFont="1" applyBorder="1" applyAlignment="1">
      <alignment horizontal="center"/>
    </xf>
    <xf numFmtId="0" fontId="27" fillId="0" borderId="16" xfId="2529" applyFont="1" applyBorder="1" applyAlignment="1">
      <alignment horizontal="left"/>
    </xf>
    <xf numFmtId="0" fontId="7" fillId="0" borderId="17" xfId="2529" applyFont="1" applyBorder="1" applyAlignment="1">
      <alignment horizontal="center"/>
    </xf>
    <xf numFmtId="3" fontId="7" fillId="0" borderId="16" xfId="2529" applyNumberFormat="1" applyFont="1" applyBorder="1" applyAlignment="1">
      <alignment horizontal="center"/>
    </xf>
    <xf numFmtId="3" fontId="28" fillId="0" borderId="15" xfId="2314" applyNumberFormat="1" applyFont="1" applyBorder="1"/>
    <xf numFmtId="168" fontId="8" fillId="0" borderId="0" xfId="2529" applyNumberFormat="1" applyFont="1" applyBorder="1"/>
    <xf numFmtId="168" fontId="8" fillId="1" borderId="0" xfId="2529" applyNumberFormat="1" applyFont="1" applyFill="1" applyBorder="1"/>
    <xf numFmtId="168" fontId="8" fillId="0" borderId="0" xfId="2529" applyNumberFormat="1" applyFont="1" applyFill="1" applyBorder="1"/>
    <xf numFmtId="168" fontId="8" fillId="0" borderId="19" xfId="2529" applyNumberFormat="1" applyFont="1" applyBorder="1"/>
    <xf numFmtId="3" fontId="8" fillId="0" borderId="0" xfId="2529" applyNumberFormat="1" applyFont="1"/>
    <xf numFmtId="3" fontId="8" fillId="1" borderId="0" xfId="2529" applyNumberFormat="1" applyFont="1" applyFill="1" applyBorder="1"/>
    <xf numFmtId="3" fontId="28" fillId="0" borderId="18" xfId="2314" applyNumberFormat="1" applyFont="1" applyBorder="1"/>
    <xf numFmtId="3" fontId="28" fillId="0" borderId="0" xfId="2314" applyNumberFormat="1" applyFont="1" applyBorder="1"/>
    <xf numFmtId="0" fontId="7" fillId="0" borderId="18" xfId="2529" applyFont="1" applyFill="1" applyBorder="1" applyAlignment="1">
      <alignment horizontal="center"/>
    </xf>
    <xf numFmtId="168" fontId="8" fillId="0" borderId="19" xfId="2529" applyNumberFormat="1" applyFont="1" applyFill="1" applyBorder="1"/>
    <xf numFmtId="168" fontId="8" fillId="0" borderId="0" xfId="2529" applyNumberFormat="1" applyFont="1"/>
    <xf numFmtId="0" fontId="6" fillId="0" borderId="0" xfId="2529" applyBorder="1"/>
    <xf numFmtId="3" fontId="8" fillId="0" borderId="18" xfId="2529" applyNumberFormat="1" applyFont="1" applyBorder="1"/>
    <xf numFmtId="3" fontId="28" fillId="0" borderId="18" xfId="2314" applyNumberFormat="1" applyFont="1" applyFill="1" applyBorder="1"/>
    <xf numFmtId="3" fontId="10" fillId="0" borderId="0" xfId="2529" applyNumberFormat="1" applyFont="1" applyBorder="1"/>
    <xf numFmtId="164" fontId="31" fillId="0" borderId="0" xfId="2529" applyNumberFormat="1" applyFont="1"/>
    <xf numFmtId="0" fontId="6" fillId="0" borderId="23" xfId="2529" applyBorder="1"/>
    <xf numFmtId="0" fontId="20" fillId="0" borderId="0" xfId="2529" applyFont="1" applyBorder="1" applyAlignment="1">
      <alignment horizontal="right"/>
    </xf>
    <xf numFmtId="0" fontId="8" fillId="0" borderId="25" xfId="2529" quotePrefix="1" applyFont="1" applyBorder="1" applyAlignment="1">
      <alignment horizontal="left"/>
    </xf>
    <xf numFmtId="3" fontId="8" fillId="0" borderId="16" xfId="2529" applyNumberFormat="1" applyFont="1" applyBorder="1"/>
    <xf numFmtId="0" fontId="8" fillId="0" borderId="0" xfId="2529" quotePrefix="1" applyFont="1" applyAlignment="1">
      <alignment horizontal="left"/>
    </xf>
    <xf numFmtId="0" fontId="12" fillId="0" borderId="0" xfId="2529" applyFont="1" applyBorder="1"/>
    <xf numFmtId="0" fontId="8" fillId="0" borderId="0" xfId="2529" applyFont="1" applyBorder="1" applyAlignment="1">
      <alignment horizontal="left"/>
    </xf>
    <xf numFmtId="1" fontId="8" fillId="0" borderId="0" xfId="2529" applyNumberFormat="1" applyFont="1" applyBorder="1" applyAlignment="1">
      <alignment horizontal="left"/>
    </xf>
    <xf numFmtId="1" fontId="12" fillId="0" borderId="0" xfId="2529" applyNumberFormat="1" applyFont="1" applyBorder="1" applyAlignment="1">
      <alignment horizontal="left"/>
    </xf>
    <xf numFmtId="0" fontId="7" fillId="0" borderId="0" xfId="2529" applyFont="1" applyBorder="1" applyAlignment="1">
      <alignment horizontal="left"/>
    </xf>
    <xf numFmtId="168" fontId="8" fillId="0" borderId="0" xfId="2529" applyNumberFormat="1" applyFont="1" applyBorder="1" applyAlignment="1">
      <alignment horizontal="right"/>
    </xf>
    <xf numFmtId="0" fontId="8" fillId="0" borderId="14" xfId="2529" applyFont="1" applyBorder="1" applyAlignment="1">
      <alignment horizontal="left"/>
    </xf>
    <xf numFmtId="167" fontId="8" fillId="0" borderId="0" xfId="2529" applyNumberFormat="1" applyFont="1" applyBorder="1" applyAlignment="1">
      <alignment horizontal="left"/>
    </xf>
    <xf numFmtId="0" fontId="8" fillId="0" borderId="25" xfId="2529" applyFont="1" applyBorder="1"/>
    <xf numFmtId="0" fontId="8" fillId="0" borderId="17" xfId="2529" applyFont="1" applyBorder="1"/>
    <xf numFmtId="166" fontId="8" fillId="0" borderId="15" xfId="2529" applyNumberFormat="1" applyFont="1" applyBorder="1"/>
    <xf numFmtId="166" fontId="8" fillId="0" borderId="18" xfId="2529" applyNumberFormat="1" applyFont="1" applyBorder="1"/>
    <xf numFmtId="166" fontId="8" fillId="0" borderId="0" xfId="2529" applyNumberFormat="1" applyFont="1" applyBorder="1"/>
    <xf numFmtId="167" fontId="8" fillId="0" borderId="0" xfId="2732" applyNumberFormat="1" applyFont="1" applyBorder="1" applyAlignment="1">
      <alignment horizontal="left"/>
    </xf>
    <xf numFmtId="0" fontId="8" fillId="0" borderId="20" xfId="2529" applyFont="1" applyBorder="1"/>
    <xf numFmtId="2" fontId="8" fillId="16" borderId="18" xfId="2529" applyNumberFormat="1" applyFont="1" applyFill="1" applyBorder="1"/>
    <xf numFmtId="0" fontId="8" fillId="0" borderId="20" xfId="2529" applyFont="1" applyBorder="1" applyAlignment="1">
      <alignment horizontal="left"/>
    </xf>
    <xf numFmtId="168" fontId="15" fillId="0" borderId="0" xfId="2529" applyNumberFormat="1" applyFont="1" applyFill="1" applyBorder="1" applyAlignment="1">
      <alignment horizontal="left"/>
    </xf>
    <xf numFmtId="0" fontId="8" fillId="0" borderId="13" xfId="2529" applyFont="1" applyBorder="1" applyAlignment="1">
      <alignment horizontal="left"/>
    </xf>
    <xf numFmtId="166" fontId="8" fillId="0" borderId="24" xfId="2529" applyNumberFormat="1" applyFont="1" applyBorder="1"/>
    <xf numFmtId="0" fontId="8" fillId="0" borderId="14" xfId="2529" applyNumberFormat="1" applyFont="1" applyBorder="1"/>
    <xf numFmtId="166" fontId="8" fillId="0" borderId="33" xfId="2529" applyNumberFormat="1" applyFont="1" applyBorder="1"/>
    <xf numFmtId="0" fontId="8" fillId="0" borderId="0" xfId="2529" applyNumberFormat="1" applyFont="1" applyBorder="1"/>
    <xf numFmtId="166" fontId="8" fillId="0" borderId="0" xfId="2529" applyNumberFormat="1" applyFont="1" applyBorder="1" applyAlignment="1">
      <alignment horizontal="center"/>
    </xf>
    <xf numFmtId="0" fontId="8" fillId="0" borderId="0" xfId="2529" applyNumberFormat="1" applyFont="1" applyBorder="1" applyAlignment="1">
      <alignment horizontal="center"/>
    </xf>
    <xf numFmtId="165" fontId="8" fillId="0" borderId="0" xfId="2529" applyNumberFormat="1" applyFont="1" applyBorder="1"/>
    <xf numFmtId="0" fontId="32" fillId="0" borderId="0" xfId="2529" applyFont="1"/>
    <xf numFmtId="0" fontId="9" fillId="0" borderId="12" xfId="2529" applyFont="1" applyBorder="1"/>
    <xf numFmtId="0" fontId="8" fillId="0" borderId="0" xfId="2529" applyFont="1" applyAlignment="1">
      <alignment horizontal="right"/>
    </xf>
    <xf numFmtId="0" fontId="33" fillId="0" borderId="12" xfId="2529" applyFont="1" applyBorder="1"/>
    <xf numFmtId="0" fontId="32" fillId="0" borderId="10" xfId="2529" applyFont="1" applyBorder="1"/>
    <xf numFmtId="0" fontId="32" fillId="0" borderId="11" xfId="2529" applyFont="1" applyBorder="1"/>
    <xf numFmtId="0" fontId="32" fillId="0" borderId="0" xfId="2529" applyFont="1" applyAlignment="1">
      <alignment horizontal="right"/>
    </xf>
    <xf numFmtId="0" fontId="7" fillId="17" borderId="12" xfId="2529" applyFont="1" applyFill="1" applyBorder="1"/>
    <xf numFmtId="0" fontId="8" fillId="17" borderId="10" xfId="2529" applyFont="1" applyFill="1" applyBorder="1"/>
    <xf numFmtId="0" fontId="8" fillId="17" borderId="11" xfId="2529" applyFont="1" applyFill="1" applyBorder="1"/>
    <xf numFmtId="0" fontId="8" fillId="17" borderId="0" xfId="2529" applyFont="1" applyFill="1"/>
    <xf numFmtId="0" fontId="8" fillId="1" borderId="34" xfId="2529" applyFont="1" applyFill="1" applyBorder="1"/>
    <xf numFmtId="0" fontId="34" fillId="0" borderId="12" xfId="2529" applyFont="1" applyBorder="1"/>
    <xf numFmtId="0" fontId="8" fillId="17" borderId="12" xfId="2529" applyFont="1" applyFill="1" applyBorder="1"/>
    <xf numFmtId="0" fontId="9" fillId="17" borderId="10" xfId="2529" applyFont="1" applyFill="1" applyBorder="1" applyAlignment="1">
      <alignment horizontal="center"/>
    </xf>
    <xf numFmtId="0" fontId="8" fillId="17" borderId="10" xfId="2529" applyFont="1" applyFill="1" applyBorder="1" applyAlignment="1">
      <alignment horizontal="right"/>
    </xf>
    <xf numFmtId="0" fontId="8" fillId="1" borderId="35" xfId="2529" applyFont="1" applyFill="1" applyBorder="1"/>
    <xf numFmtId="0" fontId="32" fillId="0" borderId="15" xfId="2529" applyFont="1" applyBorder="1"/>
    <xf numFmtId="0" fontId="34" fillId="0" borderId="14" xfId="2529" applyFont="1" applyBorder="1" applyAlignment="1">
      <alignment horizontal="center"/>
    </xf>
    <xf numFmtId="0" fontId="33" fillId="0" borderId="10" xfId="2529" applyFont="1" applyBorder="1" applyAlignment="1">
      <alignment horizontal="center"/>
    </xf>
    <xf numFmtId="0" fontId="32" fillId="0" borderId="10" xfId="2529" applyFont="1" applyBorder="1" applyAlignment="1">
      <alignment horizontal="right"/>
    </xf>
    <xf numFmtId="0" fontId="9" fillId="17" borderId="12" xfId="2529" applyFont="1" applyFill="1" applyBorder="1" applyAlignment="1">
      <alignment horizontal="right"/>
    </xf>
    <xf numFmtId="0" fontId="7" fillId="17" borderId="10" xfId="2529" applyFont="1" applyFill="1" applyBorder="1" applyAlignment="1">
      <alignment horizontal="center"/>
    </xf>
    <xf numFmtId="0" fontId="7" fillId="17" borderId="11" xfId="2529" applyFont="1" applyFill="1" applyBorder="1" applyAlignment="1">
      <alignment horizontal="center"/>
    </xf>
    <xf numFmtId="0" fontId="34" fillId="0" borderId="10" xfId="2529" applyFont="1" applyBorder="1" applyAlignment="1">
      <alignment horizontal="center"/>
    </xf>
    <xf numFmtId="0" fontId="34" fillId="0" borderId="14" xfId="2529" quotePrefix="1" applyFont="1" applyBorder="1" applyAlignment="1">
      <alignment horizontal="center"/>
    </xf>
    <xf numFmtId="0" fontId="7" fillId="0" borderId="0" xfId="2529" quotePrefix="1" applyFont="1" applyBorder="1" applyAlignment="1">
      <alignment horizontal="center"/>
    </xf>
    <xf numFmtId="0" fontId="7" fillId="0" borderId="11" xfId="2529" applyFont="1" applyBorder="1" applyAlignment="1">
      <alignment horizontal="center"/>
    </xf>
    <xf numFmtId="0" fontId="7" fillId="17" borderId="15" xfId="2529" applyFont="1" applyFill="1" applyBorder="1" applyAlignment="1">
      <alignment horizontal="center"/>
    </xf>
    <xf numFmtId="4" fontId="8" fillId="17" borderId="15" xfId="2529" applyNumberFormat="1" applyFont="1" applyFill="1" applyBorder="1"/>
    <xf numFmtId="4" fontId="8" fillId="17" borderId="10" xfId="2529" applyNumberFormat="1" applyFont="1" applyFill="1" applyBorder="1"/>
    <xf numFmtId="4" fontId="8" fillId="17" borderId="11" xfId="2529" applyNumberFormat="1" applyFont="1" applyFill="1" applyBorder="1"/>
    <xf numFmtId="170" fontId="8" fillId="17" borderId="0" xfId="2529" applyNumberFormat="1" applyFont="1" applyFill="1"/>
    <xf numFmtId="165" fontId="32" fillId="0" borderId="0" xfId="2529" applyNumberFormat="1" applyFont="1" applyBorder="1"/>
    <xf numFmtId="4" fontId="8" fillId="0" borderId="0" xfId="2529" applyNumberFormat="1" applyFont="1" applyBorder="1"/>
    <xf numFmtId="170" fontId="8" fillId="0" borderId="0" xfId="2529" applyNumberFormat="1" applyFont="1"/>
    <xf numFmtId="0" fontId="7" fillId="17" borderId="18" xfId="2529" applyFont="1" applyFill="1" applyBorder="1" applyAlignment="1">
      <alignment horizontal="center"/>
    </xf>
    <xf numFmtId="4" fontId="8" fillId="17" borderId="18" xfId="2529" applyNumberFormat="1" applyFont="1" applyFill="1" applyBorder="1"/>
    <xf numFmtId="0" fontId="35" fillId="0" borderId="0" xfId="2529" applyFont="1" applyBorder="1"/>
    <xf numFmtId="0" fontId="8" fillId="17" borderId="23" xfId="2529" applyFont="1" applyFill="1" applyBorder="1"/>
    <xf numFmtId="0" fontId="32" fillId="0" borderId="0" xfId="2529" applyFont="1" applyBorder="1"/>
    <xf numFmtId="0" fontId="7" fillId="17" borderId="12" xfId="2529" applyFont="1" applyFill="1" applyBorder="1" applyAlignment="1">
      <alignment horizontal="left"/>
    </xf>
    <xf numFmtId="0" fontId="8" fillId="17" borderId="0" xfId="2529" applyFont="1" applyFill="1" applyBorder="1"/>
    <xf numFmtId="0" fontId="34" fillId="0" borderId="0" xfId="2529" applyFont="1" applyBorder="1"/>
    <xf numFmtId="0" fontId="7" fillId="0" borderId="10" xfId="2529" applyFont="1" applyBorder="1"/>
    <xf numFmtId="0" fontId="8" fillId="17" borderId="12" xfId="2529" applyFont="1" applyFill="1" applyBorder="1" applyAlignment="1">
      <alignment horizontal="left"/>
    </xf>
    <xf numFmtId="0" fontId="8" fillId="17" borderId="14" xfId="2529" applyFont="1" applyFill="1" applyBorder="1" applyAlignment="1">
      <alignment horizontal="right"/>
    </xf>
    <xf numFmtId="0" fontId="6" fillId="17" borderId="0" xfId="2529" applyFill="1"/>
    <xf numFmtId="0" fontId="32" fillId="0" borderId="0" xfId="2529" applyFont="1" applyBorder="1" applyAlignment="1">
      <alignment horizontal="left"/>
    </xf>
    <xf numFmtId="0" fontId="32" fillId="0" borderId="0" xfId="2529" applyFont="1" applyBorder="1" applyAlignment="1">
      <alignment horizontal="right"/>
    </xf>
    <xf numFmtId="0" fontId="8" fillId="17" borderId="14" xfId="2529" applyFont="1" applyFill="1" applyBorder="1" applyAlignment="1">
      <alignment horizontal="center"/>
    </xf>
    <xf numFmtId="10" fontId="8" fillId="17" borderId="11" xfId="2529" applyNumberFormat="1" applyFont="1" applyFill="1" applyBorder="1"/>
    <xf numFmtId="0" fontId="8" fillId="0" borderId="12" xfId="2529" applyFont="1" applyBorder="1" applyAlignment="1">
      <alignment horizontal="center"/>
    </xf>
    <xf numFmtId="0" fontId="8" fillId="0" borderId="20" xfId="2529" applyFont="1" applyBorder="1" applyAlignment="1">
      <alignment horizontal="right"/>
    </xf>
    <xf numFmtId="10" fontId="8" fillId="17" borderId="14" xfId="2529" applyNumberFormat="1" applyFont="1" applyFill="1" applyBorder="1"/>
    <xf numFmtId="0" fontId="8" fillId="0" borderId="13" xfId="2529" applyFont="1" applyBorder="1" applyAlignment="1">
      <alignment horizontal="center"/>
    </xf>
    <xf numFmtId="165" fontId="34" fillId="0" borderId="0" xfId="2529" applyNumberFormat="1" applyFont="1" applyBorder="1" applyAlignment="1">
      <alignment horizontal="left"/>
    </xf>
    <xf numFmtId="0" fontId="34" fillId="0" borderId="0" xfId="2529" applyFont="1" applyBorder="1" applyAlignment="1">
      <alignment horizontal="left"/>
    </xf>
    <xf numFmtId="165" fontId="36" fillId="0" borderId="0" xfId="2529" applyNumberFormat="1" applyFont="1" applyBorder="1"/>
    <xf numFmtId="0" fontId="24" fillId="0" borderId="0" xfId="2529" applyFont="1" applyBorder="1"/>
    <xf numFmtId="0" fontId="7" fillId="17" borderId="0" xfId="2529" applyFont="1" applyFill="1" applyBorder="1" applyAlignment="1">
      <alignment horizontal="center"/>
    </xf>
    <xf numFmtId="0" fontId="7" fillId="17" borderId="19" xfId="2529" applyFont="1" applyFill="1" applyBorder="1" applyAlignment="1">
      <alignment horizontal="center"/>
    </xf>
    <xf numFmtId="4" fontId="8" fillId="17" borderId="19" xfId="2529" applyNumberFormat="1" applyFont="1" applyFill="1" applyBorder="1"/>
    <xf numFmtId="0" fontId="8" fillId="17" borderId="20" xfId="2529" applyFont="1" applyFill="1" applyBorder="1"/>
    <xf numFmtId="0" fontId="24" fillId="0" borderId="36" xfId="2529" applyFont="1" applyBorder="1"/>
    <xf numFmtId="0" fontId="24" fillId="0" borderId="37" xfId="2529" applyFont="1" applyBorder="1"/>
    <xf numFmtId="0" fontId="24" fillId="0" borderId="38" xfId="2529" applyFont="1" applyBorder="1"/>
    <xf numFmtId="0" fontId="34" fillId="0" borderId="39" xfId="2529" applyFont="1" applyBorder="1" applyAlignment="1">
      <alignment horizontal="left"/>
    </xf>
    <xf numFmtId="4" fontId="32" fillId="0" borderId="28" xfId="2529" applyNumberFormat="1" applyFont="1" applyBorder="1"/>
    <xf numFmtId="0" fontId="32" fillId="0" borderId="28" xfId="2529" applyFont="1" applyBorder="1"/>
    <xf numFmtId="0" fontId="36" fillId="0" borderId="36" xfId="2529" applyFont="1" applyBorder="1"/>
    <xf numFmtId="0" fontId="36" fillId="0" borderId="37" xfId="2529" applyFont="1" applyBorder="1"/>
    <xf numFmtId="0" fontId="36" fillId="0" borderId="38" xfId="2529" applyFont="1" applyBorder="1"/>
    <xf numFmtId="0" fontId="7" fillId="0" borderId="39" xfId="2529" applyFont="1" applyBorder="1" applyAlignment="1">
      <alignment horizontal="left"/>
    </xf>
    <xf numFmtId="0" fontId="24" fillId="0" borderId="12" xfId="2529" applyFont="1" applyBorder="1" applyAlignment="1">
      <alignment horizontal="left"/>
    </xf>
    <xf numFmtId="0" fontId="24" fillId="0" borderId="40" xfId="2529" applyFont="1" applyBorder="1"/>
    <xf numFmtId="0" fontId="34" fillId="0" borderId="0" xfId="2529" applyFont="1" applyBorder="1" applyAlignment="1">
      <alignment horizontal="center"/>
    </xf>
    <xf numFmtId="0" fontId="36" fillId="0" borderId="12" xfId="2529" applyFont="1" applyBorder="1" applyAlignment="1">
      <alignment horizontal="left"/>
    </xf>
    <xf numFmtId="0" fontId="36" fillId="0" borderId="11" xfId="2529" applyFont="1" applyBorder="1"/>
    <xf numFmtId="0" fontId="36" fillId="0" borderId="40" xfId="2529" applyFont="1" applyBorder="1"/>
    <xf numFmtId="0" fontId="24" fillId="0" borderId="41" xfId="2529" applyFont="1" applyBorder="1"/>
    <xf numFmtId="165" fontId="32" fillId="0" borderId="12" xfId="2529" applyNumberFormat="1" applyFont="1" applyBorder="1"/>
    <xf numFmtId="0" fontId="36" fillId="0" borderId="41" xfId="2529" applyFont="1" applyBorder="1"/>
    <xf numFmtId="0" fontId="24" fillId="0" borderId="25" xfId="2529" applyFont="1" applyBorder="1" applyAlignment="1">
      <alignment horizontal="left"/>
    </xf>
    <xf numFmtId="0" fontId="36" fillId="0" borderId="25" xfId="2529" applyFont="1" applyBorder="1" applyAlignment="1">
      <alignment horizontal="left"/>
    </xf>
    <xf numFmtId="0" fontId="36" fillId="0" borderId="17" xfId="2529" applyFont="1" applyBorder="1" applyAlignment="1">
      <alignment horizontal="left"/>
    </xf>
    <xf numFmtId="0" fontId="24" fillId="0" borderId="20" xfId="2529" applyFont="1" applyBorder="1" applyAlignment="1">
      <alignment horizontal="left"/>
    </xf>
    <xf numFmtId="165" fontId="8" fillId="0" borderId="25" xfId="2529" applyNumberFormat="1" applyFont="1" applyBorder="1"/>
    <xf numFmtId="165" fontId="8" fillId="0" borderId="17" xfId="2529" applyNumberFormat="1" applyFont="1" applyBorder="1"/>
    <xf numFmtId="0" fontId="36" fillId="0" borderId="20" xfId="2529" applyFont="1" applyBorder="1" applyAlignment="1">
      <alignment horizontal="left"/>
    </xf>
    <xf numFmtId="0" fontId="36" fillId="0" borderId="19" xfId="2529" applyFont="1" applyBorder="1" applyAlignment="1">
      <alignment horizontal="left"/>
    </xf>
    <xf numFmtId="0" fontId="36" fillId="0" borderId="42" xfId="2529" applyFont="1" applyBorder="1"/>
    <xf numFmtId="0" fontId="8" fillId="0" borderId="30" xfId="2529" applyFont="1" applyBorder="1"/>
    <xf numFmtId="0" fontId="6" fillId="0" borderId="31" xfId="2529" applyBorder="1"/>
    <xf numFmtId="0" fontId="24" fillId="0" borderId="43" xfId="2529" applyFont="1" applyBorder="1" applyAlignment="1">
      <alignment horizontal="left"/>
    </xf>
    <xf numFmtId="0" fontId="8" fillId="1" borderId="46" xfId="2529" applyFont="1" applyFill="1" applyBorder="1"/>
    <xf numFmtId="0" fontId="32" fillId="0" borderId="30" xfId="2529" applyFont="1" applyBorder="1"/>
    <xf numFmtId="0" fontId="32" fillId="0" borderId="31" xfId="2529" applyFont="1" applyBorder="1"/>
    <xf numFmtId="0" fontId="35" fillId="0" borderId="31" xfId="2529" applyFont="1" applyBorder="1"/>
    <xf numFmtId="0" fontId="36" fillId="0" borderId="43" xfId="2529" applyFont="1" applyBorder="1" applyAlignment="1">
      <alignment horizontal="left"/>
    </xf>
    <xf numFmtId="0" fontId="35" fillId="0" borderId="44" xfId="2529" applyFont="1" applyBorder="1"/>
    <xf numFmtId="0" fontId="36" fillId="0" borderId="45" xfId="2529" applyFont="1" applyBorder="1"/>
    <xf numFmtId="0" fontId="37" fillId="0" borderId="47" xfId="2529" applyFont="1" applyBorder="1"/>
    <xf numFmtId="0" fontId="7" fillId="0" borderId="37" xfId="2529" applyFont="1" applyBorder="1"/>
    <xf numFmtId="0" fontId="8" fillId="0" borderId="37" xfId="2529" applyFont="1" applyBorder="1"/>
    <xf numFmtId="0" fontId="24" fillId="0" borderId="37" xfId="2529" applyFont="1" applyBorder="1" applyAlignment="1">
      <alignment horizontal="right"/>
    </xf>
    <xf numFmtId="0" fontId="8" fillId="0" borderId="38" xfId="2529" applyFont="1" applyBorder="1"/>
    <xf numFmtId="0" fontId="24" fillId="0" borderId="0" xfId="2529" applyFont="1" applyBorder="1" applyAlignment="1">
      <alignment horizontal="center"/>
    </xf>
    <xf numFmtId="0" fontId="24" fillId="0" borderId="0" xfId="2529" applyFont="1" applyBorder="1" applyAlignment="1">
      <alignment horizontal="left"/>
    </xf>
    <xf numFmtId="0" fontId="9" fillId="0" borderId="48" xfId="2529" applyFont="1" applyBorder="1" applyAlignment="1">
      <alignment horizontal="center"/>
    </xf>
    <xf numFmtId="0" fontId="7" fillId="0" borderId="49" xfId="2529" applyFont="1" applyBorder="1" applyAlignment="1">
      <alignment horizontal="center"/>
    </xf>
    <xf numFmtId="0" fontId="24" fillId="0" borderId="50" xfId="2529" applyFont="1" applyBorder="1" applyAlignment="1">
      <alignment horizontal="left"/>
    </xf>
    <xf numFmtId="167" fontId="8" fillId="0" borderId="10" xfId="2732" applyNumberFormat="1" applyFont="1" applyBorder="1"/>
    <xf numFmtId="167" fontId="8" fillId="0" borderId="51" xfId="2732" applyNumberFormat="1" applyFont="1" applyBorder="1"/>
    <xf numFmtId="0" fontId="24" fillId="0" borderId="39" xfId="2529" applyFont="1" applyBorder="1" applyAlignment="1">
      <alignment horizontal="left"/>
    </xf>
    <xf numFmtId="167" fontId="8" fillId="0" borderId="0" xfId="2732" applyNumberFormat="1" applyFont="1" applyBorder="1"/>
    <xf numFmtId="167" fontId="8" fillId="0" borderId="52" xfId="2732" applyNumberFormat="1" applyFont="1" applyBorder="1"/>
    <xf numFmtId="0" fontId="24" fillId="0" borderId="48" xfId="2529" applyFont="1" applyBorder="1" applyAlignment="1">
      <alignment horizontal="centerContinuous"/>
    </xf>
    <xf numFmtId="0" fontId="7" fillId="0" borderId="10" xfId="2529" applyFont="1" applyBorder="1" applyAlignment="1">
      <alignment horizontal="centerContinuous"/>
    </xf>
    <xf numFmtId="1" fontId="8" fillId="0" borderId="10" xfId="2529" applyNumberFormat="1" applyFont="1" applyBorder="1" applyAlignment="1">
      <alignment horizontal="centerContinuous"/>
    </xf>
    <xf numFmtId="1" fontId="8" fillId="0" borderId="51" xfId="2529" applyNumberFormat="1" applyFont="1" applyBorder="1" applyAlignment="1">
      <alignment horizontal="centerContinuous"/>
    </xf>
    <xf numFmtId="0" fontId="24" fillId="0" borderId="48" xfId="2529" applyFont="1" applyBorder="1" applyAlignment="1">
      <alignment horizontal="right"/>
    </xf>
    <xf numFmtId="2" fontId="8" fillId="0" borderId="10" xfId="2529" applyNumberFormat="1" applyFont="1" applyBorder="1"/>
    <xf numFmtId="2" fontId="8" fillId="0" borderId="51" xfId="2529" applyNumberFormat="1" applyFont="1" applyBorder="1"/>
    <xf numFmtId="0" fontId="8" fillId="0" borderId="39" xfId="2529" applyFont="1" applyBorder="1" applyAlignment="1">
      <alignment horizontal="left"/>
    </xf>
    <xf numFmtId="2" fontId="8" fillId="0" borderId="52" xfId="2529" applyNumberFormat="1" applyFont="1" applyBorder="1"/>
    <xf numFmtId="2" fontId="8" fillId="0" borderId="25" xfId="2529" applyNumberFormat="1" applyFont="1" applyBorder="1"/>
    <xf numFmtId="2" fontId="8" fillId="0" borderId="16" xfId="2529" applyNumberFormat="1" applyFont="1" applyBorder="1"/>
    <xf numFmtId="2" fontId="8" fillId="0" borderId="20" xfId="2529" applyNumberFormat="1" applyFont="1" applyBorder="1"/>
    <xf numFmtId="0" fontId="38" fillId="0" borderId="0" xfId="2529" applyFont="1"/>
    <xf numFmtId="170" fontId="32" fillId="0" borderId="0" xfId="2529" applyNumberFormat="1" applyFont="1"/>
    <xf numFmtId="168" fontId="6" fillId="0" borderId="0" xfId="2529" applyNumberFormat="1"/>
    <xf numFmtId="166" fontId="8" fillId="0" borderId="31" xfId="2529" applyNumberFormat="1" applyFont="1" applyBorder="1"/>
    <xf numFmtId="0" fontId="8" fillId="0" borderId="31" xfId="2529" applyFont="1" applyBorder="1" applyAlignment="1">
      <alignment horizontal="left"/>
    </xf>
    <xf numFmtId="3" fontId="8" fillId="0" borderId="32" xfId="2529" applyNumberFormat="1" applyFont="1" applyBorder="1" applyAlignment="1">
      <alignment horizontal="right"/>
    </xf>
    <xf numFmtId="0" fontId="8" fillId="0" borderId="30" xfId="2529" applyNumberFormat="1" applyFont="1" applyBorder="1"/>
    <xf numFmtId="0" fontId="7" fillId="0" borderId="28" xfId="2529" applyFont="1" applyFill="1" applyBorder="1" applyAlignment="1">
      <alignment horizontal="center"/>
    </xf>
    <xf numFmtId="3" fontId="8" fillId="0" borderId="28" xfId="2529" applyNumberFormat="1" applyFont="1" applyBorder="1"/>
    <xf numFmtId="3" fontId="8" fillId="1" borderId="28" xfId="2529" applyNumberFormat="1" applyFont="1" applyFill="1" applyBorder="1"/>
    <xf numFmtId="3" fontId="8" fillId="0" borderId="29" xfId="2529" applyNumberFormat="1" applyFont="1" applyBorder="1"/>
    <xf numFmtId="0" fontId="12" fillId="0" borderId="39" xfId="2529" applyFont="1" applyBorder="1"/>
    <xf numFmtId="167" fontId="12" fillId="0" borderId="0" xfId="2529" applyNumberFormat="1" applyFont="1" applyBorder="1"/>
    <xf numFmtId="9" fontId="8" fillId="0" borderId="52" xfId="2732" applyFont="1" applyBorder="1" applyAlignment="1">
      <alignment horizontal="center"/>
    </xf>
    <xf numFmtId="10" fontId="8" fillId="0" borderId="39" xfId="2529" applyNumberFormat="1" applyFont="1" applyBorder="1"/>
    <xf numFmtId="2" fontId="8" fillId="0" borderId="52" xfId="2529" applyNumberFormat="1" applyFont="1" applyBorder="1" applyAlignment="1">
      <alignment horizontal="center"/>
    </xf>
    <xf numFmtId="0" fontId="8" fillId="0" borderId="39" xfId="2529" applyFont="1" applyBorder="1"/>
    <xf numFmtId="0" fontId="8" fillId="0" borderId="52" xfId="2529" applyFont="1" applyBorder="1" applyAlignment="1">
      <alignment horizontal="center"/>
    </xf>
    <xf numFmtId="3" fontId="8" fillId="0" borderId="52" xfId="2529" applyNumberFormat="1" applyFont="1" applyBorder="1" applyAlignment="1">
      <alignment horizontal="center"/>
    </xf>
    <xf numFmtId="0" fontId="16" fillId="0" borderId="39" xfId="2529" applyFont="1" applyBorder="1" applyAlignment="1">
      <alignment horizontal="left"/>
    </xf>
    <xf numFmtId="0" fontId="16" fillId="0" borderId="0" xfId="2529" applyFont="1" applyBorder="1"/>
    <xf numFmtId="0" fontId="16" fillId="0" borderId="0" xfId="2529" applyFont="1" applyBorder="1" applyAlignment="1">
      <alignment horizontal="left"/>
    </xf>
    <xf numFmtId="167" fontId="16" fillId="0" borderId="0" xfId="2529" applyNumberFormat="1" applyFont="1" applyFill="1" applyBorder="1" applyAlignment="1">
      <alignment horizontal="left"/>
    </xf>
    <xf numFmtId="0" fontId="40" fillId="0" borderId="0" xfId="0" applyFont="1" applyBorder="1"/>
    <xf numFmtId="0" fontId="41" fillId="0" borderId="0" xfId="0" applyFont="1"/>
    <xf numFmtId="173" fontId="8" fillId="0" borderId="0" xfId="2529" applyNumberFormat="1" applyFont="1" applyBorder="1"/>
    <xf numFmtId="173" fontId="6" fillId="0" borderId="0" xfId="2529" applyNumberFormat="1"/>
    <xf numFmtId="173" fontId="8" fillId="0" borderId="16" xfId="2529" applyNumberFormat="1" applyFont="1" applyBorder="1"/>
    <xf numFmtId="3" fontId="8" fillId="0" borderId="0" xfId="2529" applyNumberFormat="1" applyFont="1" applyBorder="1" applyAlignment="1">
      <alignment horizontal="left"/>
    </xf>
    <xf numFmtId="0" fontId="7" fillId="17" borderId="27" xfId="2529" applyFont="1" applyFill="1" applyBorder="1" applyAlignment="1">
      <alignment horizontal="left"/>
    </xf>
    <xf numFmtId="4" fontId="8" fillId="17" borderId="28" xfId="2529" applyNumberFormat="1" applyFont="1" applyFill="1" applyBorder="1"/>
    <xf numFmtId="0" fontId="8" fillId="17" borderId="28" xfId="2529" applyFont="1" applyFill="1" applyBorder="1"/>
    <xf numFmtId="0" fontId="24" fillId="17" borderId="36" xfId="2529" applyFont="1" applyFill="1" applyBorder="1"/>
    <xf numFmtId="0" fontId="24" fillId="17" borderId="37" xfId="2529" applyFont="1" applyFill="1" applyBorder="1"/>
    <xf numFmtId="0" fontId="24" fillId="17" borderId="38" xfId="2529" applyFont="1" applyFill="1" applyBorder="1"/>
    <xf numFmtId="0" fontId="7" fillId="17" borderId="39" xfId="2529" applyFont="1" applyFill="1" applyBorder="1" applyAlignment="1">
      <alignment horizontal="left"/>
    </xf>
    <xf numFmtId="0" fontId="24" fillId="17" borderId="12" xfId="2529" applyFont="1" applyFill="1" applyBorder="1" applyAlignment="1">
      <alignment horizontal="left"/>
    </xf>
    <xf numFmtId="0" fontId="24" fillId="17" borderId="11" xfId="2529" applyFont="1" applyFill="1" applyBorder="1"/>
    <xf numFmtId="0" fontId="24" fillId="17" borderId="40" xfId="2529" applyFont="1" applyFill="1" applyBorder="1"/>
    <xf numFmtId="0" fontId="6" fillId="17" borderId="0" xfId="2529" applyFill="1" applyBorder="1"/>
    <xf numFmtId="0" fontId="24" fillId="17" borderId="41" xfId="2529" applyFont="1" applyFill="1" applyBorder="1"/>
    <xf numFmtId="0" fontId="7" fillId="17" borderId="0" xfId="2529" applyFont="1" applyFill="1" applyBorder="1" applyAlignment="1">
      <alignment horizontal="left"/>
    </xf>
    <xf numFmtId="0" fontId="24" fillId="17" borderId="25" xfId="2529" applyFont="1" applyFill="1" applyBorder="1" applyAlignment="1">
      <alignment horizontal="left"/>
    </xf>
    <xf numFmtId="0" fontId="24" fillId="17" borderId="20" xfId="2529" applyFont="1" applyFill="1" applyBorder="1" applyAlignment="1">
      <alignment horizontal="left"/>
    </xf>
    <xf numFmtId="165" fontId="8" fillId="17" borderId="25" xfId="2529" applyNumberFormat="1" applyFont="1" applyFill="1" applyBorder="1"/>
    <xf numFmtId="165" fontId="8" fillId="17" borderId="17" xfId="2529" applyNumberFormat="1" applyFont="1" applyFill="1" applyBorder="1"/>
    <xf numFmtId="0" fontId="8" fillId="17" borderId="30" xfId="2529" applyFont="1" applyFill="1" applyBorder="1"/>
    <xf numFmtId="0" fontId="8" fillId="17" borderId="31" xfId="2529" applyFont="1" applyFill="1" applyBorder="1"/>
    <xf numFmtId="0" fontId="6" fillId="17" borderId="31" xfId="2529" applyFill="1" applyBorder="1"/>
    <xf numFmtId="0" fontId="24" fillId="17" borderId="43" xfId="2529" applyFont="1" applyFill="1" applyBorder="1" applyAlignment="1">
      <alignment horizontal="left"/>
    </xf>
    <xf numFmtId="1" fontId="8" fillId="0" borderId="0" xfId="2529" applyNumberFormat="1" applyFont="1" applyBorder="1" applyAlignment="1">
      <alignment horizontal="center"/>
    </xf>
    <xf numFmtId="3" fontId="12" fillId="0" borderId="15" xfId="2314" applyNumberFormat="1" applyFont="1" applyBorder="1" applyAlignment="1">
      <alignment horizontal="right"/>
    </xf>
    <xf numFmtId="2" fontId="8" fillId="0" borderId="12" xfId="2529" applyNumberFormat="1" applyFont="1" applyBorder="1" applyAlignment="1">
      <alignment horizontal="center"/>
    </xf>
    <xf numFmtId="0" fontId="9" fillId="0" borderId="15" xfId="2529" applyFont="1" applyBorder="1" applyAlignment="1">
      <alignment horizontal="right"/>
    </xf>
    <xf numFmtId="1" fontId="8" fillId="0" borderId="18" xfId="2529" applyNumberFormat="1" applyFont="1" applyBorder="1"/>
    <xf numFmtId="10" fontId="19" fillId="0" borderId="18" xfId="2529" applyNumberFormat="1" applyFont="1" applyBorder="1" applyAlignment="1">
      <alignment horizontal="center"/>
    </xf>
    <xf numFmtId="9" fontId="19" fillId="0" borderId="18" xfId="2529" applyNumberFormat="1" applyFont="1" applyBorder="1" applyAlignment="1">
      <alignment horizontal="center"/>
    </xf>
    <xf numFmtId="9" fontId="12" fillId="0" borderId="18" xfId="2529" applyNumberFormat="1" applyFont="1" applyFill="1" applyBorder="1" applyAlignment="1">
      <alignment horizontal="center"/>
    </xf>
    <xf numFmtId="4" fontId="12" fillId="0" borderId="0" xfId="2529" applyNumberFormat="1" applyFont="1" applyFill="1" applyBorder="1"/>
    <xf numFmtId="0" fontId="45" fillId="0" borderId="0" xfId="2529" applyFont="1"/>
    <xf numFmtId="3" fontId="45" fillId="0" borderId="0" xfId="2529" applyNumberFormat="1" applyFont="1"/>
    <xf numFmtId="0" fontId="8" fillId="0" borderId="20" xfId="2529" quotePrefix="1" applyFont="1" applyBorder="1" applyAlignment="1">
      <alignment horizontal="left"/>
    </xf>
    <xf numFmtId="3" fontId="12" fillId="0" borderId="20" xfId="2314" applyNumberFormat="1" applyFont="1" applyFill="1" applyBorder="1" applyAlignment="1">
      <alignment horizontal="right"/>
    </xf>
    <xf numFmtId="3" fontId="12" fillId="0" borderId="20" xfId="2529" applyNumberFormat="1" applyFont="1" applyFill="1" applyBorder="1" applyAlignment="1">
      <alignment horizontal="right"/>
    </xf>
    <xf numFmtId="3" fontId="12" fillId="0" borderId="20" xfId="2529" applyNumberFormat="1" applyFont="1" applyBorder="1" applyAlignment="1">
      <alignment horizontal="right"/>
    </xf>
    <xf numFmtId="0" fontId="34" fillId="0" borderId="18" xfId="2529" applyFont="1" applyBorder="1" applyAlignment="1">
      <alignment horizontal="center"/>
    </xf>
    <xf numFmtId="4" fontId="12" fillId="17" borderId="0" xfId="2529" applyNumberFormat="1" applyFont="1" applyFill="1" applyBorder="1"/>
    <xf numFmtId="10" fontId="19" fillId="0" borderId="0" xfId="2732" applyNumberFormat="1" applyFont="1" applyBorder="1" applyAlignment="1">
      <alignment horizontal="center"/>
    </xf>
    <xf numFmtId="10" fontId="12" fillId="0" borderId="0" xfId="2732" applyNumberFormat="1" applyFont="1" applyFill="1" applyBorder="1" applyAlignment="1">
      <alignment horizontal="center"/>
    </xf>
    <xf numFmtId="10" fontId="19" fillId="0" borderId="0" xfId="2732" applyNumberFormat="1" applyFont="1" applyFill="1" applyBorder="1" applyAlignment="1">
      <alignment horizontal="center"/>
    </xf>
    <xf numFmtId="10" fontId="8" fillId="0" borderId="0" xfId="2529" applyNumberFormat="1" applyFont="1" applyFill="1" applyBorder="1" applyAlignment="1">
      <alignment horizontal="center"/>
    </xf>
    <xf numFmtId="10" fontId="8" fillId="0" borderId="0" xfId="2532" applyNumberFormat="1" applyFont="1" applyFill="1" applyBorder="1" applyAlignment="1" applyProtection="1">
      <alignment horizontal="center"/>
    </xf>
    <xf numFmtId="0" fontId="47" fillId="0" borderId="0" xfId="0" applyFont="1"/>
    <xf numFmtId="3" fontId="48" fillId="0" borderId="0" xfId="2314" applyNumberFormat="1" applyFont="1" applyFill="1" applyBorder="1"/>
    <xf numFmtId="3" fontId="49" fillId="0" borderId="0" xfId="2529" applyNumberFormat="1" applyFont="1"/>
    <xf numFmtId="0" fontId="50" fillId="0" borderId="0" xfId="2529" applyFont="1"/>
    <xf numFmtId="0" fontId="45" fillId="0" borderId="10" xfId="2529" applyFont="1" applyBorder="1"/>
    <xf numFmtId="0" fontId="45" fillId="0" borderId="10" xfId="2529" applyFont="1" applyBorder="1" applyAlignment="1">
      <alignment horizontal="center"/>
    </xf>
    <xf numFmtId="0" fontId="13" fillId="0" borderId="18" xfId="2529" applyFont="1" applyFill="1" applyBorder="1"/>
    <xf numFmtId="0" fontId="14" fillId="0" borderId="18" xfId="2529" applyFont="1" applyFill="1" applyBorder="1" applyAlignment="1">
      <alignment horizontal="right"/>
    </xf>
    <xf numFmtId="171" fontId="12" fillId="0" borderId="19" xfId="2529" applyNumberFormat="1" applyFont="1" applyBorder="1" applyAlignment="1">
      <alignment horizontal="right"/>
    </xf>
    <xf numFmtId="170" fontId="8" fillId="0" borderId="19" xfId="2529" applyNumberFormat="1" applyFont="1" applyFill="1" applyBorder="1" applyProtection="1"/>
    <xf numFmtId="10" fontId="8" fillId="0" borderId="0" xfId="2532" applyNumberFormat="1" applyFont="1" applyFill="1" applyBorder="1" applyProtection="1"/>
    <xf numFmtId="3" fontId="12" fillId="0" borderId="23" xfId="2529" applyNumberFormat="1" applyFont="1" applyBorder="1"/>
    <xf numFmtId="0" fontId="55" fillId="0" borderId="10" xfId="2529" applyFont="1" applyBorder="1"/>
    <xf numFmtId="0" fontId="25" fillId="0" borderId="18" xfId="2529" applyFont="1" applyBorder="1" applyAlignment="1">
      <alignment horizontal="center"/>
    </xf>
    <xf numFmtId="168" fontId="8" fillId="0" borderId="18" xfId="2529" applyNumberFormat="1" applyFont="1" applyBorder="1"/>
    <xf numFmtId="168" fontId="8" fillId="0" borderId="15" xfId="2529" applyNumberFormat="1" applyFont="1" applyBorder="1"/>
    <xf numFmtId="3" fontId="8" fillId="0" borderId="20" xfId="2529" applyNumberFormat="1" applyFont="1" applyBorder="1"/>
    <xf numFmtId="0" fontId="8" fillId="0" borderId="23" xfId="2529" applyFont="1" applyBorder="1" applyAlignment="1">
      <alignment horizontal="right"/>
    </xf>
    <xf numFmtId="0" fontId="9" fillId="0" borderId="23" xfId="2529" applyFont="1" applyBorder="1" applyAlignment="1">
      <alignment horizontal="center"/>
    </xf>
    <xf numFmtId="0" fontId="7" fillId="0" borderId="24" xfId="2529" applyFont="1" applyBorder="1" applyAlignment="1">
      <alignment horizontal="center"/>
    </xf>
    <xf numFmtId="173" fontId="6" fillId="0" borderId="23" xfId="2529" applyNumberFormat="1" applyBorder="1"/>
    <xf numFmtId="3" fontId="8" fillId="0" borderId="23" xfId="2529" applyNumberFormat="1" applyFont="1" applyBorder="1"/>
    <xf numFmtId="0" fontId="8" fillId="19" borderId="0" xfId="2529" applyFont="1" applyFill="1"/>
    <xf numFmtId="170" fontId="8" fillId="0" borderId="0" xfId="0" applyNumberFormat="1" applyFont="1" applyFill="1" applyBorder="1"/>
    <xf numFmtId="3" fontId="8" fillId="0" borderId="0" xfId="2308" applyNumberFormat="1" applyFont="1" applyAlignment="1"/>
    <xf numFmtId="9" fontId="8" fillId="0" borderId="20" xfId="2732" applyFont="1" applyFill="1" applyBorder="1" applyAlignment="1">
      <alignment horizontal="center"/>
    </xf>
    <xf numFmtId="3" fontId="8" fillId="0" borderId="0" xfId="2529" applyNumberFormat="1" applyFont="1" applyFill="1" applyAlignment="1"/>
    <xf numFmtId="3" fontId="8" fillId="0" borderId="0" xfId="2529" applyNumberFormat="1" applyFont="1" applyBorder="1" applyAlignment="1"/>
    <xf numFmtId="3" fontId="8" fillId="0" borderId="0" xfId="2529" applyNumberFormat="1" applyFont="1" applyAlignment="1"/>
    <xf numFmtId="3" fontId="8" fillId="0" borderId="0" xfId="0" applyNumberFormat="1" applyFont="1" applyBorder="1" applyAlignment="1" applyProtection="1"/>
    <xf numFmtId="2" fontId="19" fillId="0" borderId="23" xfId="2529" applyNumberFormat="1" applyFont="1" applyFill="1" applyBorder="1" applyAlignment="1">
      <alignment horizontal="right"/>
    </xf>
    <xf numFmtId="0" fontId="7" fillId="0" borderId="20" xfId="2529" applyFont="1" applyFill="1" applyBorder="1" applyAlignment="1">
      <alignment horizontal="center"/>
    </xf>
    <xf numFmtId="0" fontId="33" fillId="0" borderId="14" xfId="2529" applyFont="1" applyBorder="1" applyAlignment="1">
      <alignment horizontal="right"/>
    </xf>
    <xf numFmtId="0" fontId="34" fillId="0" borderId="12" xfId="2529" applyFont="1" applyBorder="1" applyAlignment="1">
      <alignment horizontal="center"/>
    </xf>
    <xf numFmtId="3" fontId="8" fillId="0" borderId="0" xfId="2529" applyNumberFormat="1" applyFont="1" applyFill="1" applyBorder="1" applyAlignment="1">
      <alignment horizontal="right"/>
    </xf>
    <xf numFmtId="0" fontId="8" fillId="0" borderId="0" xfId="2529" applyFont="1"/>
    <xf numFmtId="10" fontId="8" fillId="0" borderId="0" xfId="2732" applyNumberFormat="1" applyFont="1" applyFill="1" applyBorder="1" applyAlignment="1">
      <alignment horizontal="right"/>
    </xf>
    <xf numFmtId="0" fontId="7" fillId="0" borderId="24" xfId="2529" applyFont="1" applyFill="1" applyBorder="1"/>
    <xf numFmtId="0" fontId="8" fillId="0" borderId="0" xfId="2529" applyFont="1"/>
    <xf numFmtId="0" fontId="8" fillId="0" borderId="0" xfId="2529" applyFont="1" applyBorder="1"/>
    <xf numFmtId="0" fontId="7" fillId="0" borderId="18" xfId="2529" applyFont="1" applyFill="1" applyBorder="1"/>
    <xf numFmtId="10" fontId="8" fillId="0" borderId="0" xfId="2732" applyNumberFormat="1" applyFont="1" applyBorder="1" applyAlignment="1">
      <alignment horizontal="right"/>
    </xf>
    <xf numFmtId="2" fontId="19" fillId="0" borderId="0" xfId="2529" applyNumberFormat="1" applyFont="1" applyFill="1" applyBorder="1" applyAlignment="1">
      <alignment horizontal="right"/>
    </xf>
    <xf numFmtId="9" fontId="8" fillId="0" borderId="18" xfId="2732" applyFont="1" applyBorder="1" applyAlignment="1">
      <alignment horizontal="center"/>
    </xf>
    <xf numFmtId="9" fontId="8" fillId="0" borderId="24" xfId="2732" applyFont="1" applyBorder="1" applyAlignment="1">
      <alignment horizontal="center"/>
    </xf>
    <xf numFmtId="3" fontId="8" fillId="0" borderId="0" xfId="2529" applyNumberFormat="1" applyFont="1"/>
    <xf numFmtId="0" fontId="7" fillId="0" borderId="24" xfId="2529" applyFont="1" applyFill="1" applyBorder="1" applyAlignment="1">
      <alignment horizontal="center"/>
    </xf>
    <xf numFmtId="168" fontId="8" fillId="0" borderId="24" xfId="2529" applyNumberFormat="1" applyFont="1" applyBorder="1"/>
    <xf numFmtId="168" fontId="8" fillId="0" borderId="23" xfId="2529" applyNumberFormat="1" applyFont="1" applyBorder="1"/>
    <xf numFmtId="0" fontId="6" fillId="0" borderId="20" xfId="2529" applyBorder="1"/>
    <xf numFmtId="3" fontId="6" fillId="0" borderId="20" xfId="2529" applyNumberFormat="1" applyBorder="1"/>
    <xf numFmtId="0" fontId="8" fillId="0" borderId="0" xfId="2529" applyFont="1"/>
    <xf numFmtId="0" fontId="8" fillId="0" borderId="0" xfId="2529" applyFont="1" applyBorder="1"/>
    <xf numFmtId="0" fontId="8" fillId="0" borderId="0" xfId="2529" applyFont="1" applyFill="1" applyBorder="1"/>
    <xf numFmtId="3" fontId="8" fillId="0" borderId="0" xfId="2529" applyNumberFormat="1" applyFont="1" applyBorder="1"/>
    <xf numFmtId="3" fontId="12" fillId="0" borderId="0" xfId="2529" applyNumberFormat="1" applyFont="1" applyBorder="1"/>
    <xf numFmtId="0" fontId="7" fillId="0" borderId="18" xfId="2529" applyFont="1" applyFill="1" applyBorder="1" applyAlignment="1">
      <alignment horizontal="center"/>
    </xf>
    <xf numFmtId="0" fontId="6" fillId="0" borderId="0" xfId="2529" applyBorder="1"/>
    <xf numFmtId="0" fontId="32" fillId="0" borderId="0" xfId="2529" applyFont="1"/>
    <xf numFmtId="0" fontId="8" fillId="1" borderId="35" xfId="2529" applyFont="1" applyFill="1" applyBorder="1"/>
    <xf numFmtId="165" fontId="32" fillId="0" borderId="0" xfId="2529" applyNumberFormat="1" applyFont="1" applyBorder="1"/>
    <xf numFmtId="0" fontId="32" fillId="0" borderId="0" xfId="2529" applyFont="1" applyBorder="1"/>
    <xf numFmtId="0" fontId="8" fillId="17" borderId="0" xfId="2529" applyFont="1" applyFill="1" applyBorder="1"/>
    <xf numFmtId="0" fontId="7" fillId="17" borderId="0" xfId="2529" applyFont="1" applyFill="1" applyBorder="1" applyAlignment="1">
      <alignment horizontal="center"/>
    </xf>
    <xf numFmtId="167" fontId="12" fillId="0" borderId="0" xfId="2529" applyNumberFormat="1" applyFont="1" applyBorder="1"/>
    <xf numFmtId="173" fontId="6" fillId="0" borderId="0" xfId="2529" applyNumberFormat="1" applyBorder="1"/>
    <xf numFmtId="0" fontId="34" fillId="0" borderId="18" xfId="2529" applyFont="1" applyBorder="1" applyAlignment="1">
      <alignment horizontal="center"/>
    </xf>
    <xf numFmtId="4" fontId="8" fillId="17" borderId="18" xfId="2529" applyNumberFormat="1" applyFont="1" applyFill="1" applyBorder="1"/>
    <xf numFmtId="4" fontId="12" fillId="17" borderId="0" xfId="2529" applyNumberFormat="1" applyFont="1" applyFill="1" applyBorder="1"/>
    <xf numFmtId="0" fontId="9" fillId="0" borderId="63" xfId="2529" applyFont="1" applyBorder="1" applyAlignment="1">
      <alignment horizontal="right"/>
    </xf>
    <xf numFmtId="172" fontId="8" fillId="1" borderId="25" xfId="2529" applyNumberFormat="1" applyFont="1" applyFill="1" applyBorder="1" applyProtection="1"/>
    <xf numFmtId="172" fontId="8" fillId="1" borderId="20" xfId="2529" applyNumberFormat="1" applyFont="1" applyFill="1" applyBorder="1" applyProtection="1"/>
    <xf numFmtId="172" fontId="8" fillId="0" borderId="20" xfId="2529" applyNumberFormat="1" applyFont="1" applyFill="1" applyBorder="1" applyProtection="1"/>
    <xf numFmtId="3" fontId="8" fillId="0" borderId="20" xfId="2529" applyNumberFormat="1" applyFont="1" applyFill="1" applyBorder="1" applyAlignment="1">
      <alignment horizontal="right"/>
    </xf>
    <xf numFmtId="1" fontId="8" fillId="0" borderId="20" xfId="2529" applyNumberFormat="1" applyFont="1" applyFill="1" applyBorder="1"/>
    <xf numFmtId="1" fontId="52" fillId="0" borderId="20" xfId="2531" applyNumberFormat="1" applyFont="1" applyFill="1" applyBorder="1"/>
    <xf numFmtId="1" fontId="52" fillId="0" borderId="0" xfId="2531" applyNumberFormat="1" applyFont="1" applyFill="1" applyBorder="1"/>
    <xf numFmtId="1" fontId="52" fillId="0" borderId="19" xfId="2531" applyNumberFormat="1" applyFont="1" applyFill="1" applyBorder="1"/>
    <xf numFmtId="1" fontId="0" fillId="0" borderId="20" xfId="0" applyNumberFormat="1" applyFill="1" applyBorder="1"/>
    <xf numFmtId="1" fontId="0" fillId="0" borderId="0" xfId="0" applyNumberFormat="1" applyFill="1" applyBorder="1"/>
    <xf numFmtId="1" fontId="4" fillId="0" borderId="0" xfId="5378" applyNumberFormat="1" applyFill="1" applyBorder="1"/>
    <xf numFmtId="1" fontId="4" fillId="0" borderId="19" xfId="5378" applyNumberFormat="1" applyFill="1" applyBorder="1"/>
    <xf numFmtId="10" fontId="8" fillId="0" borderId="25" xfId="2732" applyNumberFormat="1" applyFont="1" applyBorder="1" applyProtection="1"/>
    <xf numFmtId="10" fontId="8" fillId="0" borderId="16" xfId="2732" applyNumberFormat="1" applyFont="1" applyBorder="1" applyProtection="1"/>
    <xf numFmtId="10" fontId="8" fillId="1" borderId="16" xfId="2732" applyNumberFormat="1" applyFont="1" applyFill="1" applyBorder="1" applyProtection="1"/>
    <xf numFmtId="10" fontId="8" fillId="0" borderId="20" xfId="2732" applyNumberFormat="1" applyFont="1" applyBorder="1" applyProtection="1"/>
    <xf numFmtId="10" fontId="8" fillId="0" borderId="0" xfId="2732" applyNumberFormat="1" applyFont="1" applyBorder="1" applyProtection="1"/>
    <xf numFmtId="10" fontId="8" fillId="0" borderId="20" xfId="2732" applyNumberFormat="1" applyFont="1" applyFill="1" applyBorder="1" applyProtection="1"/>
    <xf numFmtId="10" fontId="8" fillId="0" borderId="20" xfId="2732" applyNumberFormat="1" applyFont="1" applyFill="1" applyBorder="1"/>
    <xf numFmtId="10" fontId="8" fillId="0" borderId="20" xfId="2529" applyNumberFormat="1" applyFont="1" applyFill="1" applyBorder="1" applyAlignment="1">
      <alignment horizontal="right"/>
    </xf>
    <xf numFmtId="10" fontId="8" fillId="0" borderId="20" xfId="2529" applyNumberFormat="1" applyFont="1" applyFill="1" applyBorder="1"/>
    <xf numFmtId="10" fontId="19" fillId="0" borderId="20" xfId="2732" applyNumberFormat="1" applyFont="1" applyFill="1" applyBorder="1" applyAlignment="1">
      <alignment horizontal="right"/>
    </xf>
    <xf numFmtId="10" fontId="20" fillId="0" borderId="20" xfId="2529" applyNumberFormat="1" applyFont="1" applyFill="1" applyBorder="1" applyAlignment="1">
      <alignment horizontal="right"/>
    </xf>
    <xf numFmtId="10" fontId="20" fillId="0" borderId="20" xfId="2732" applyNumberFormat="1" applyFont="1" applyBorder="1" applyAlignment="1">
      <alignment horizontal="right"/>
    </xf>
    <xf numFmtId="10" fontId="20" fillId="0" borderId="20" xfId="2732" applyNumberFormat="1" applyFont="1" applyFill="1" applyBorder="1" applyAlignment="1">
      <alignment horizontal="right"/>
    </xf>
    <xf numFmtId="2" fontId="8" fillId="0" borderId="16" xfId="2529" applyNumberFormat="1" applyFont="1" applyBorder="1" applyAlignment="1">
      <alignment horizontal="center"/>
    </xf>
    <xf numFmtId="9" fontId="8" fillId="0" borderId="25" xfId="2732" applyFont="1" applyFill="1" applyBorder="1" applyAlignment="1">
      <alignment horizontal="center"/>
    </xf>
    <xf numFmtId="10" fontId="8" fillId="0" borderId="23" xfId="2732" applyNumberFormat="1" applyFont="1" applyBorder="1" applyAlignment="1">
      <alignment horizontal="right"/>
    </xf>
    <xf numFmtId="169" fontId="8" fillId="0" borderId="25" xfId="2732" applyNumberFormat="1" applyFont="1" applyFill="1" applyBorder="1" applyAlignment="1">
      <alignment horizontal="right"/>
    </xf>
    <xf numFmtId="169" fontId="8" fillId="0" borderId="20" xfId="2732" applyNumberFormat="1" applyFont="1" applyFill="1" applyBorder="1" applyAlignment="1">
      <alignment horizontal="right"/>
    </xf>
    <xf numFmtId="0" fontId="8" fillId="0" borderId="20" xfId="2529" applyFont="1" applyFill="1" applyBorder="1"/>
    <xf numFmtId="0" fontId="7" fillId="0" borderId="25" xfId="2529" applyFont="1" applyBorder="1"/>
    <xf numFmtId="0" fontId="7" fillId="0" borderId="20" xfId="2529" applyFont="1" applyBorder="1"/>
    <xf numFmtId="4" fontId="8" fillId="0" borderId="0" xfId="2314" applyFont="1" applyBorder="1"/>
    <xf numFmtId="171" fontId="8" fillId="0" borderId="25" xfId="2529" applyNumberFormat="1" applyFont="1" applyBorder="1" applyAlignment="1">
      <alignment horizontal="right"/>
    </xf>
    <xf numFmtId="4" fontId="8" fillId="0" borderId="20" xfId="2314" applyFont="1" applyBorder="1"/>
    <xf numFmtId="171" fontId="8" fillId="0" borderId="20" xfId="2529" applyNumberFormat="1" applyFont="1" applyFill="1" applyBorder="1" applyAlignment="1">
      <alignment horizontal="right"/>
    </xf>
    <xf numFmtId="170" fontId="8" fillId="0" borderId="20" xfId="2529" applyNumberFormat="1" applyFont="1" applyFill="1" applyBorder="1"/>
    <xf numFmtId="170" fontId="8" fillId="0" borderId="20" xfId="2529" applyNumberFormat="1" applyFont="1" applyBorder="1"/>
    <xf numFmtId="165" fontId="8" fillId="0" borderId="25" xfId="2529" applyNumberFormat="1" applyFont="1" applyBorder="1" applyAlignment="1">
      <alignment horizontal="right"/>
    </xf>
    <xf numFmtId="165" fontId="8" fillId="0" borderId="20" xfId="2529" applyNumberFormat="1" applyFont="1" applyBorder="1" applyAlignment="1">
      <alignment horizontal="right"/>
    </xf>
    <xf numFmtId="165" fontId="8" fillId="0" borderId="20" xfId="2529" applyNumberFormat="1" applyFont="1" applyFill="1" applyBorder="1" applyAlignment="1">
      <alignment horizontal="right"/>
    </xf>
    <xf numFmtId="0" fontId="8" fillId="0" borderId="12" xfId="2529" applyFont="1" applyFill="1" applyBorder="1"/>
    <xf numFmtId="0" fontId="8" fillId="0" borderId="10" xfId="2529" applyFont="1" applyFill="1" applyBorder="1"/>
    <xf numFmtId="165" fontId="8" fillId="0" borderId="10" xfId="2529" applyNumberFormat="1" applyFont="1" applyFill="1" applyBorder="1"/>
    <xf numFmtId="0" fontId="8" fillId="0" borderId="11" xfId="2529" applyFont="1" applyFill="1" applyBorder="1"/>
    <xf numFmtId="167" fontId="8" fillId="0" borderId="25" xfId="2529" applyNumberFormat="1" applyFont="1" applyBorder="1"/>
    <xf numFmtId="167" fontId="8" fillId="0" borderId="20" xfId="2529" applyNumberFormat="1" applyFont="1" applyBorder="1"/>
    <xf numFmtId="167" fontId="8" fillId="0" borderId="20" xfId="2529" applyNumberFormat="1" applyFont="1" applyBorder="1" applyProtection="1"/>
    <xf numFmtId="10" fontId="8" fillId="0" borderId="20" xfId="2529" applyNumberFormat="1" applyFont="1" applyBorder="1" applyAlignment="1">
      <alignment horizontal="right"/>
    </xf>
    <xf numFmtId="10" fontId="8" fillId="0" borderId="20" xfId="2529" applyNumberFormat="1" applyFont="1" applyBorder="1"/>
    <xf numFmtId="10" fontId="19" fillId="0" borderId="20" xfId="2732" applyNumberFormat="1" applyFont="1" applyBorder="1" applyAlignment="1">
      <alignment horizontal="right"/>
    </xf>
    <xf numFmtId="10" fontId="19" fillId="0" borderId="20" xfId="2732" applyNumberFormat="1" applyFont="1" applyBorder="1" applyAlignment="1">
      <alignment horizontal="center"/>
    </xf>
    <xf numFmtId="10" fontId="12" fillId="0" borderId="20" xfId="2732" applyNumberFormat="1" applyFont="1" applyFill="1" applyBorder="1" applyAlignment="1">
      <alignment horizontal="center"/>
    </xf>
    <xf numFmtId="10" fontId="19" fillId="0" borderId="20" xfId="2732" applyNumberFormat="1" applyFont="1" applyFill="1" applyBorder="1" applyAlignment="1">
      <alignment horizontal="center"/>
    </xf>
    <xf numFmtId="10" fontId="20" fillId="0" borderId="20" xfId="2529" applyNumberFormat="1" applyFont="1" applyFill="1" applyBorder="1" applyAlignment="1">
      <alignment horizontal="center"/>
    </xf>
    <xf numFmtId="10" fontId="8" fillId="0" borderId="20" xfId="2532" applyNumberFormat="1" applyFont="1" applyFill="1" applyBorder="1" applyAlignment="1" applyProtection="1">
      <alignment horizontal="center"/>
    </xf>
    <xf numFmtId="10" fontId="0" fillId="0" borderId="20" xfId="0" applyNumberFormat="1" applyFill="1" applyBorder="1"/>
    <xf numFmtId="10" fontId="0" fillId="0" borderId="0" xfId="0" applyNumberFormat="1" applyFill="1" applyBorder="1"/>
    <xf numFmtId="2" fontId="8" fillId="0" borderId="11" xfId="2529" applyNumberFormat="1" applyFont="1" applyBorder="1" applyAlignment="1">
      <alignment horizontal="center"/>
    </xf>
    <xf numFmtId="2" fontId="8" fillId="0" borderId="25" xfId="2529" applyNumberFormat="1" applyFont="1" applyBorder="1" applyAlignment="1">
      <alignment horizontal="right"/>
    </xf>
    <xf numFmtId="2" fontId="8" fillId="0" borderId="20" xfId="2529" applyNumberFormat="1" applyFont="1" applyBorder="1" applyAlignment="1">
      <alignment horizontal="right"/>
    </xf>
    <xf numFmtId="2" fontId="19" fillId="0" borderId="20" xfId="2529" applyNumberFormat="1" applyFont="1" applyBorder="1"/>
    <xf numFmtId="2" fontId="19" fillId="0" borderId="20" xfId="2529" applyNumberFormat="1" applyFont="1" applyFill="1" applyBorder="1"/>
    <xf numFmtId="2" fontId="19" fillId="0" borderId="20" xfId="2529" applyNumberFormat="1" applyFont="1" applyFill="1" applyBorder="1" applyAlignment="1">
      <alignment horizontal="right"/>
    </xf>
    <xf numFmtId="2" fontId="19" fillId="0" borderId="20" xfId="2529" applyNumberFormat="1" applyFont="1" applyBorder="1" applyAlignment="1">
      <alignment horizontal="right"/>
    </xf>
    <xf numFmtId="0" fontId="26" fillId="0" borderId="25" xfId="2529" applyFont="1" applyBorder="1" applyAlignment="1">
      <alignment horizontal="center"/>
    </xf>
    <xf numFmtId="0" fontId="7" fillId="0" borderId="20" xfId="2529" applyFont="1" applyBorder="1" applyAlignment="1">
      <alignment horizontal="center"/>
    </xf>
    <xf numFmtId="0" fontId="27" fillId="0" borderId="25" xfId="2529" applyFont="1" applyBorder="1" applyAlignment="1">
      <alignment horizontal="center"/>
    </xf>
    <xf numFmtId="168" fontId="8" fillId="0" borderId="20" xfId="2529" applyNumberFormat="1" applyFont="1" applyBorder="1"/>
    <xf numFmtId="3" fontId="27" fillId="0" borderId="25" xfId="2529" applyNumberFormat="1" applyFont="1" applyBorder="1" applyAlignment="1">
      <alignment horizontal="center"/>
    </xf>
    <xf numFmtId="3" fontId="27" fillId="0" borderId="16" xfId="2529" applyNumberFormat="1" applyFont="1" applyBorder="1" applyAlignment="1">
      <alignment horizontal="center"/>
    </xf>
    <xf numFmtId="3" fontId="7" fillId="0" borderId="17" xfId="2529" applyNumberFormat="1" applyFont="1" applyBorder="1" applyAlignment="1">
      <alignment horizontal="center"/>
    </xf>
    <xf numFmtId="3" fontId="8" fillId="0" borderId="19" xfId="2529" applyNumberFormat="1" applyFont="1" applyBorder="1" applyAlignment="1">
      <alignment horizontal="right"/>
    </xf>
    <xf numFmtId="3" fontId="8" fillId="1" borderId="19" xfId="2529" applyNumberFormat="1" applyFont="1" applyFill="1" applyBorder="1"/>
    <xf numFmtId="3" fontId="8" fillId="0" borderId="18" xfId="2314" applyNumberFormat="1" applyFont="1" applyFill="1" applyBorder="1"/>
    <xf numFmtId="0" fontId="8" fillId="0" borderId="17" xfId="2529" applyFont="1" applyBorder="1" applyAlignment="1">
      <alignment horizontal="center"/>
    </xf>
    <xf numFmtId="3" fontId="28" fillId="0" borderId="20" xfId="2314" applyNumberFormat="1" applyFont="1" applyBorder="1"/>
    <xf numFmtId="3" fontId="20" fillId="0" borderId="20" xfId="2314" applyNumberFormat="1" applyFont="1" applyBorder="1"/>
    <xf numFmtId="3" fontId="30" fillId="0" borderId="20" xfId="2529" applyNumberFormat="1" applyFont="1" applyBorder="1"/>
    <xf numFmtId="0" fontId="7" fillId="0" borderId="19" xfId="2529" applyFont="1" applyFill="1" applyBorder="1"/>
    <xf numFmtId="0" fontId="7" fillId="0" borderId="19" xfId="2529" applyFont="1" applyBorder="1"/>
    <xf numFmtId="170" fontId="8" fillId="0" borderId="0" xfId="2499" applyNumberFormat="1" applyFont="1" applyFill="1"/>
    <xf numFmtId="3" fontId="8" fillId="0" borderId="20" xfId="2529" applyNumberFormat="1" applyFont="1" applyBorder="1" applyAlignment="1">
      <alignment horizontal="right"/>
    </xf>
    <xf numFmtId="3" fontId="12" fillId="0" borderId="0" xfId="2529" applyNumberFormat="1" applyFont="1" applyBorder="1" applyAlignment="1">
      <alignment horizontal="right"/>
    </xf>
    <xf numFmtId="9" fontId="8" fillId="0" borderId="0" xfId="2732" applyFont="1" applyFill="1" applyBorder="1" applyAlignment="1">
      <alignment horizontal="center"/>
    </xf>
    <xf numFmtId="1" fontId="2" fillId="0" borderId="0" xfId="19344" applyNumberFormat="1"/>
    <xf numFmtId="10" fontId="40" fillId="0" borderId="0" xfId="2732" applyNumberFormat="1" applyFont="1" applyFill="1" applyBorder="1"/>
    <xf numFmtId="165" fontId="8" fillId="0" borderId="18" xfId="2529" applyNumberFormat="1" applyFont="1" applyBorder="1" applyAlignment="1">
      <alignment horizontal="right"/>
    </xf>
    <xf numFmtId="165" fontId="8" fillId="0" borderId="24" xfId="2529" applyNumberFormat="1" applyFont="1" applyBorder="1" applyAlignment="1">
      <alignment horizontal="right"/>
    </xf>
    <xf numFmtId="3" fontId="8" fillId="0" borderId="18" xfId="2529" applyNumberFormat="1" applyFont="1" applyFill="1" applyBorder="1"/>
    <xf numFmtId="2" fontId="8" fillId="0" borderId="19" xfId="2529" applyNumberFormat="1" applyFont="1" applyBorder="1"/>
    <xf numFmtId="2" fontId="8" fillId="0" borderId="23" xfId="2529" applyNumberFormat="1" applyFont="1" applyBorder="1"/>
    <xf numFmtId="2" fontId="8" fillId="0" borderId="26" xfId="2529" applyNumberFormat="1" applyFont="1" applyBorder="1"/>
    <xf numFmtId="2" fontId="8" fillId="16" borderId="15" xfId="2529" applyNumberFormat="1" applyFont="1" applyFill="1" applyBorder="1"/>
    <xf numFmtId="1" fontId="0" fillId="0" borderId="0" xfId="0" applyNumberFormat="1"/>
    <xf numFmtId="1" fontId="2" fillId="0" borderId="19" xfId="19344" applyNumberFormat="1" applyBorder="1"/>
    <xf numFmtId="170" fontId="8" fillId="0" borderId="0" xfId="0" applyNumberFormat="1" applyFont="1" applyFill="1"/>
    <xf numFmtId="1" fontId="6" fillId="0" borderId="20" xfId="2529" applyNumberFormat="1" applyFont="1" applyFill="1" applyBorder="1"/>
    <xf numFmtId="1" fontId="6" fillId="0" borderId="0" xfId="2529" applyNumberFormat="1" applyFont="1" applyFill="1" applyBorder="1"/>
    <xf numFmtId="1" fontId="6" fillId="0" borderId="19" xfId="2529" applyNumberFormat="1" applyFont="1" applyFill="1" applyBorder="1"/>
    <xf numFmtId="1" fontId="42" fillId="0" borderId="20" xfId="2530" applyNumberFormat="1" applyFont="1" applyBorder="1"/>
    <xf numFmtId="1" fontId="42" fillId="0" borderId="0" xfId="2530" applyNumberFormat="1" applyFont="1" applyBorder="1"/>
    <xf numFmtId="1" fontId="43" fillId="0" borderId="20" xfId="2531" applyNumberFormat="1" applyFont="1" applyFill="1" applyBorder="1"/>
    <xf numFmtId="1" fontId="43" fillId="0" borderId="0" xfId="2531" applyNumberFormat="1" applyFont="1" applyFill="1" applyBorder="1"/>
    <xf numFmtId="1" fontId="43" fillId="0" borderId="19" xfId="2531" applyNumberFormat="1" applyFont="1" applyFill="1" applyBorder="1"/>
    <xf numFmtId="3" fontId="12" fillId="0" borderId="0" xfId="2529" applyNumberFormat="1" applyFont="1" applyFill="1" applyBorder="1" applyAlignment="1">
      <alignment horizontal="right"/>
    </xf>
    <xf numFmtId="3" fontId="12" fillId="0" borderId="19" xfId="2529" applyNumberFormat="1" applyFont="1" applyBorder="1" applyAlignment="1">
      <alignment horizontal="right"/>
    </xf>
    <xf numFmtId="10" fontId="8" fillId="0" borderId="19" xfId="2529" applyNumberFormat="1" applyFont="1" applyFill="1" applyBorder="1"/>
    <xf numFmtId="10" fontId="8" fillId="0" borderId="19" xfId="2532" applyNumberFormat="1" applyFont="1" applyFill="1" applyBorder="1" applyProtection="1"/>
    <xf numFmtId="10" fontId="40" fillId="0" borderId="0" xfId="19345" applyNumberFormat="1" applyFont="1" applyFill="1" applyBorder="1" applyProtection="1"/>
    <xf numFmtId="0" fontId="82" fillId="0" borderId="0" xfId="2529" applyFont="1" applyBorder="1"/>
    <xf numFmtId="0" fontId="82" fillId="0" borderId="0" xfId="2529" applyFont="1"/>
    <xf numFmtId="1" fontId="81" fillId="0" borderId="0" xfId="2529" applyNumberFormat="1" applyFont="1" applyFill="1" applyBorder="1" applyAlignment="1">
      <alignment horizontal="right"/>
    </xf>
    <xf numFmtId="0" fontId="82" fillId="0" borderId="0" xfId="2529" applyFont="1" applyFill="1" applyBorder="1"/>
    <xf numFmtId="0" fontId="81" fillId="0" borderId="0" xfId="2529" applyFont="1" applyFill="1" applyBorder="1"/>
    <xf numFmtId="165" fontId="8" fillId="0" borderId="18" xfId="2529" applyNumberFormat="1" applyFont="1" applyFill="1" applyBorder="1" applyAlignment="1">
      <alignment horizontal="right"/>
    </xf>
    <xf numFmtId="1" fontId="7" fillId="0" borderId="18" xfId="2529" applyNumberFormat="1" applyFont="1" applyBorder="1" applyAlignment="1">
      <alignment horizontal="right"/>
    </xf>
    <xf numFmtId="1" fontId="7" fillId="0" borderId="18" xfId="2529" applyNumberFormat="1" applyFont="1" applyFill="1" applyBorder="1" applyAlignment="1">
      <alignment horizontal="right"/>
    </xf>
    <xf numFmtId="1" fontId="7" fillId="0" borderId="20" xfId="2529" applyNumberFormat="1" applyFont="1" applyFill="1" applyBorder="1" applyAlignment="1">
      <alignment horizontal="right"/>
    </xf>
    <xf numFmtId="10" fontId="56" fillId="0" borderId="0" xfId="19345" applyNumberFormat="1" applyFont="1" applyFill="1" applyBorder="1" applyProtection="1"/>
    <xf numFmtId="0" fontId="7" fillId="0" borderId="26" xfId="2529" applyFont="1" applyFill="1" applyBorder="1" applyAlignment="1">
      <alignment horizontal="center"/>
    </xf>
    <xf numFmtId="0" fontId="29" fillId="0" borderId="18" xfId="2529" applyFont="1" applyBorder="1" applyAlignment="1">
      <alignment horizontal="center"/>
    </xf>
    <xf numFmtId="0" fontId="29" fillId="0" borderId="24" xfId="2529" applyFont="1" applyBorder="1" applyAlignment="1">
      <alignment horizontal="center"/>
    </xf>
    <xf numFmtId="0" fontId="24" fillId="17" borderId="16" xfId="2529" applyFont="1" applyFill="1" applyBorder="1" applyAlignment="1">
      <alignment horizontal="left"/>
    </xf>
    <xf numFmtId="0" fontId="24" fillId="17" borderId="0" xfId="2529" applyFont="1" applyFill="1" applyBorder="1" applyAlignment="1">
      <alignment horizontal="left"/>
    </xf>
    <xf numFmtId="0" fontId="24" fillId="17" borderId="53" xfId="2529" applyFont="1" applyFill="1" applyBorder="1"/>
    <xf numFmtId="0" fontId="24" fillId="17" borderId="52" xfId="2529" applyFont="1" applyFill="1" applyBorder="1"/>
    <xf numFmtId="0" fontId="24" fillId="17" borderId="32" xfId="2529" applyFont="1" applyFill="1" applyBorder="1"/>
    <xf numFmtId="0" fontId="8" fillId="17" borderId="15" xfId="2529" applyFont="1" applyFill="1" applyBorder="1" applyAlignment="1">
      <alignment horizontal="right"/>
    </xf>
    <xf numFmtId="165" fontId="8" fillId="17" borderId="20" xfId="2529" applyNumberFormat="1" applyFont="1" applyFill="1" applyBorder="1"/>
    <xf numFmtId="165" fontId="8" fillId="17" borderId="19" xfId="2529" applyNumberFormat="1" applyFont="1" applyFill="1" applyBorder="1"/>
    <xf numFmtId="165" fontId="8" fillId="17" borderId="13" xfId="2529" applyNumberFormat="1" applyFont="1" applyFill="1" applyBorder="1"/>
    <xf numFmtId="165" fontId="8" fillId="17" borderId="26" xfId="2529" applyNumberFormat="1" applyFont="1" applyFill="1" applyBorder="1"/>
    <xf numFmtId="165" fontId="32" fillId="0" borderId="25" xfId="2529" applyNumberFormat="1" applyFont="1" applyBorder="1"/>
    <xf numFmtId="165" fontId="32" fillId="0" borderId="17" xfId="2529" applyNumberFormat="1" applyFont="1" applyBorder="1"/>
    <xf numFmtId="165" fontId="32" fillId="0" borderId="20" xfId="2529" applyNumberFormat="1" applyFont="1" applyBorder="1"/>
    <xf numFmtId="165" fontId="32" fillId="0" borderId="19" xfId="2529" applyNumberFormat="1" applyFont="1" applyBorder="1"/>
    <xf numFmtId="165" fontId="32" fillId="0" borderId="13" xfId="2529" applyNumberFormat="1" applyFont="1" applyBorder="1"/>
    <xf numFmtId="165" fontId="32" fillId="0" borderId="26" xfId="2529" applyNumberFormat="1" applyFont="1" applyBorder="1"/>
    <xf numFmtId="0" fontId="24" fillId="0" borderId="16" xfId="2529" applyFont="1" applyBorder="1" applyAlignment="1">
      <alignment horizontal="left"/>
    </xf>
    <xf numFmtId="0" fontId="24" fillId="0" borderId="53" xfId="2529" applyFont="1" applyBorder="1"/>
    <xf numFmtId="0" fontId="24" fillId="0" borderId="52" xfId="2529" applyFont="1" applyBorder="1"/>
    <xf numFmtId="0" fontId="24" fillId="0" borderId="32" xfId="2529" applyFont="1" applyBorder="1"/>
    <xf numFmtId="0" fontId="8" fillId="0" borderId="15" xfId="2529" applyFont="1" applyBorder="1" applyAlignment="1">
      <alignment horizontal="right"/>
    </xf>
    <xf numFmtId="165" fontId="8" fillId="0" borderId="20" xfId="2529" applyNumberFormat="1" applyFont="1" applyBorder="1"/>
    <xf numFmtId="165" fontId="8" fillId="0" borderId="19" xfId="2529" applyNumberFormat="1" applyFont="1" applyBorder="1"/>
    <xf numFmtId="165" fontId="8" fillId="0" borderId="13" xfId="2529" applyNumberFormat="1" applyFont="1" applyBorder="1"/>
    <xf numFmtId="165" fontId="8" fillId="0" borderId="26" xfId="2529" applyNumberFormat="1" applyFont="1" applyBorder="1"/>
    <xf numFmtId="1" fontId="7" fillId="18" borderId="52" xfId="2529" applyNumberFormat="1" applyFont="1" applyFill="1" applyBorder="1" applyAlignment="1">
      <alignment horizontal="center"/>
    </xf>
    <xf numFmtId="170" fontId="8" fillId="51" borderId="0" xfId="0" applyNumberFormat="1" applyFont="1" applyFill="1" applyBorder="1"/>
    <xf numFmtId="1" fontId="7" fillId="0" borderId="0" xfId="2529" applyNumberFormat="1" applyFont="1" applyFill="1" applyBorder="1" applyAlignment="1">
      <alignment horizontal="right"/>
    </xf>
    <xf numFmtId="0" fontId="9" fillId="0" borderId="64" xfId="2529" applyFont="1" applyBorder="1" applyAlignment="1">
      <alignment horizontal="right"/>
    </xf>
    <xf numFmtId="2" fontId="8" fillId="0" borderId="17" xfId="2529" applyNumberFormat="1" applyFont="1" applyBorder="1"/>
    <xf numFmtId="2" fontId="8" fillId="0" borderId="13" xfId="2529" applyNumberFormat="1" applyFont="1" applyBorder="1"/>
    <xf numFmtId="10" fontId="8" fillId="0" borderId="17" xfId="2732" applyNumberFormat="1" applyFont="1" applyBorder="1" applyAlignment="1">
      <alignment horizontal="right"/>
    </xf>
    <xf numFmtId="10" fontId="8" fillId="0" borderId="19" xfId="2732" applyNumberFormat="1" applyFont="1" applyBorder="1" applyAlignment="1">
      <alignment horizontal="right"/>
    </xf>
    <xf numFmtId="10" fontId="8" fillId="1" borderId="19" xfId="2732" applyNumberFormat="1" applyFont="1" applyFill="1" applyBorder="1" applyAlignment="1">
      <alignment horizontal="right"/>
    </xf>
    <xf numFmtId="10" fontId="8" fillId="0" borderId="13" xfId="2732" applyNumberFormat="1" applyFont="1" applyBorder="1" applyAlignment="1">
      <alignment horizontal="right"/>
    </xf>
    <xf numFmtId="10" fontId="8" fillId="1" borderId="26" xfId="2732" applyNumberFormat="1" applyFont="1" applyFill="1" applyBorder="1" applyAlignment="1">
      <alignment horizontal="right"/>
    </xf>
    <xf numFmtId="2" fontId="8" fillId="0" borderId="17" xfId="2529" applyNumberFormat="1" applyFont="1" applyBorder="1" applyAlignment="1">
      <alignment horizontal="center"/>
    </xf>
    <xf numFmtId="167" fontId="8" fillId="1" borderId="19" xfId="2529" applyNumberFormat="1" applyFont="1" applyFill="1" applyBorder="1" applyProtection="1"/>
    <xf numFmtId="167" fontId="8" fillId="1" borderId="19" xfId="2529" applyNumberFormat="1" applyFont="1" applyFill="1" applyBorder="1"/>
    <xf numFmtId="167" fontId="8" fillId="0" borderId="19" xfId="2529" applyNumberFormat="1" applyFont="1" applyBorder="1"/>
    <xf numFmtId="10" fontId="8" fillId="0" borderId="19" xfId="2529" applyNumberFormat="1" applyFont="1" applyBorder="1"/>
    <xf numFmtId="10" fontId="19" fillId="0" borderId="19" xfId="2732" applyNumberFormat="1" applyFont="1" applyBorder="1"/>
    <xf numFmtId="10" fontId="20" fillId="0" borderId="19" xfId="2732" applyNumberFormat="1" applyFont="1" applyBorder="1"/>
    <xf numFmtId="10" fontId="19" fillId="0" borderId="19" xfId="2732" applyNumberFormat="1" applyFont="1" applyBorder="1" applyAlignment="1">
      <alignment horizontal="center"/>
    </xf>
    <xf numFmtId="10" fontId="12" fillId="0" borderId="19" xfId="2732" applyNumberFormat="1" applyFont="1" applyFill="1" applyBorder="1" applyAlignment="1">
      <alignment horizontal="center"/>
    </xf>
    <xf numFmtId="10" fontId="19" fillId="0" borderId="19" xfId="2732" applyNumberFormat="1" applyFont="1" applyFill="1" applyBorder="1" applyAlignment="1">
      <alignment horizontal="center"/>
    </xf>
    <xf numFmtId="10" fontId="8" fillId="0" borderId="19" xfId="2529" applyNumberFormat="1" applyFont="1" applyFill="1" applyBorder="1" applyAlignment="1">
      <alignment horizontal="center"/>
    </xf>
    <xf numFmtId="167" fontId="8" fillId="0" borderId="19" xfId="2528" applyNumberFormat="1" applyFont="1" applyFill="1" applyBorder="1" applyAlignment="1">
      <alignment horizontal="center"/>
    </xf>
    <xf numFmtId="10" fontId="8" fillId="0" borderId="19" xfId="2532" applyNumberFormat="1" applyFont="1" applyFill="1" applyBorder="1" applyAlignment="1" applyProtection="1">
      <alignment horizontal="center"/>
    </xf>
    <xf numFmtId="10" fontId="0" fillId="0" borderId="19" xfId="0" applyNumberFormat="1" applyFill="1" applyBorder="1"/>
    <xf numFmtId="10" fontId="40" fillId="0" borderId="20" xfId="2732" applyNumberFormat="1" applyFont="1" applyFill="1" applyBorder="1"/>
    <xf numFmtId="10" fontId="40" fillId="0" borderId="19" xfId="2732" applyNumberFormat="1" applyFont="1" applyFill="1" applyBorder="1"/>
    <xf numFmtId="10" fontId="56" fillId="0" borderId="20" xfId="19345" applyNumberFormat="1" applyFont="1" applyFill="1" applyBorder="1" applyProtection="1"/>
    <xf numFmtId="10" fontId="56" fillId="0" borderId="19" xfId="19345" applyNumberFormat="1" applyFont="1" applyFill="1" applyBorder="1" applyProtection="1"/>
    <xf numFmtId="1" fontId="8" fillId="0" borderId="24" xfId="2529" applyNumberFormat="1" applyFont="1" applyFill="1" applyBorder="1" applyAlignment="1">
      <alignment horizontal="right"/>
    </xf>
    <xf numFmtId="169" fontId="8" fillId="0" borderId="15" xfId="2529" applyNumberFormat="1" applyFont="1" applyFill="1" applyBorder="1" applyAlignment="1">
      <alignment horizontal="right"/>
    </xf>
    <xf numFmtId="169" fontId="8" fillId="0" borderId="18" xfId="2529" applyNumberFormat="1" applyFont="1" applyFill="1" applyBorder="1" applyAlignment="1">
      <alignment horizontal="right"/>
    </xf>
    <xf numFmtId="169" fontId="8" fillId="0" borderId="24" xfId="2529" applyNumberFormat="1" applyFont="1" applyFill="1" applyBorder="1" applyAlignment="1">
      <alignment horizontal="right"/>
    </xf>
    <xf numFmtId="2" fontId="8" fillId="0" borderId="17" xfId="2529" applyNumberFormat="1" applyFont="1" applyBorder="1" applyAlignment="1">
      <alignment horizontal="right"/>
    </xf>
    <xf numFmtId="2" fontId="8" fillId="0" borderId="19" xfId="2529" applyNumberFormat="1" applyFont="1" applyBorder="1" applyAlignment="1">
      <alignment horizontal="right"/>
    </xf>
    <xf numFmtId="2" fontId="19" fillId="0" borderId="19" xfId="2529" applyNumberFormat="1" applyFont="1" applyBorder="1" applyAlignment="1">
      <alignment horizontal="right"/>
    </xf>
    <xf numFmtId="2" fontId="19" fillId="1" borderId="19" xfId="2529" applyNumberFormat="1" applyFont="1" applyFill="1" applyBorder="1" applyAlignment="1">
      <alignment horizontal="right"/>
    </xf>
    <xf numFmtId="2" fontId="19" fillId="0" borderId="19" xfId="2529" applyNumberFormat="1" applyFont="1" applyFill="1" applyBorder="1" applyAlignment="1">
      <alignment horizontal="right"/>
    </xf>
    <xf numFmtId="2" fontId="19" fillId="0" borderId="13" xfId="2529" applyNumberFormat="1" applyFont="1" applyFill="1" applyBorder="1" applyAlignment="1">
      <alignment horizontal="right"/>
    </xf>
    <xf numFmtId="2" fontId="19" fillId="0" borderId="26" xfId="2529" applyNumberFormat="1" applyFont="1" applyFill="1" applyBorder="1" applyAlignment="1">
      <alignment horizontal="right"/>
    </xf>
    <xf numFmtId="165" fontId="8" fillId="0" borderId="15" xfId="2529" applyNumberFormat="1" applyFont="1" applyBorder="1" applyAlignment="1">
      <alignment horizontal="right"/>
    </xf>
    <xf numFmtId="0" fontId="7" fillId="0" borderId="25" xfId="2529" applyFont="1" applyBorder="1" applyAlignment="1">
      <alignment horizontal="center"/>
    </xf>
    <xf numFmtId="0" fontId="7" fillId="0" borderId="13" xfId="2529" applyFont="1" applyFill="1" applyBorder="1" applyAlignment="1">
      <alignment horizontal="center"/>
    </xf>
    <xf numFmtId="0" fontId="24" fillId="0" borderId="25" xfId="2529" applyFont="1" applyBorder="1" applyAlignment="1">
      <alignment horizontal="centerContinuous"/>
    </xf>
    <xf numFmtId="0" fontId="7" fillId="0" borderId="16" xfId="2529" applyFont="1" applyBorder="1" applyAlignment="1">
      <alignment horizontal="centerContinuous"/>
    </xf>
    <xf numFmtId="0" fontId="6" fillId="0" borderId="16" xfId="2529" applyBorder="1" applyAlignment="1">
      <alignment horizontal="centerContinuous"/>
    </xf>
    <xf numFmtId="0" fontId="6" fillId="0" borderId="53" xfId="2529" applyBorder="1" applyAlignment="1">
      <alignment horizontal="centerContinuous"/>
    </xf>
    <xf numFmtId="0" fontId="26" fillId="0" borderId="15" xfId="2529" applyFont="1" applyBorder="1" applyAlignment="1">
      <alignment horizontal="center"/>
    </xf>
    <xf numFmtId="10" fontId="8" fillId="0" borderId="15" xfId="2529" applyNumberFormat="1" applyFont="1" applyBorder="1"/>
    <xf numFmtId="10" fontId="8" fillId="0" borderId="18" xfId="2529" applyNumberFormat="1" applyFont="1" applyBorder="1"/>
    <xf numFmtId="10" fontId="8" fillId="0" borderId="24" xfId="2529" applyNumberFormat="1" applyFont="1" applyBorder="1"/>
    <xf numFmtId="168" fontId="8" fillId="1" borderId="19" xfId="2529" applyNumberFormat="1" applyFont="1" applyFill="1" applyBorder="1"/>
    <xf numFmtId="168" fontId="8" fillId="1" borderId="26" xfId="2529" applyNumberFormat="1" applyFont="1" applyFill="1" applyBorder="1"/>
    <xf numFmtId="3" fontId="8" fillId="0" borderId="13" xfId="2529" applyNumberFormat="1" applyFont="1" applyBorder="1"/>
    <xf numFmtId="3" fontId="8" fillId="1" borderId="26" xfId="2529" applyNumberFormat="1" applyFont="1" applyFill="1" applyBorder="1"/>
    <xf numFmtId="0" fontId="29" fillId="0" borderId="18" xfId="2529" applyFont="1" applyFill="1" applyBorder="1" applyAlignment="1">
      <alignment horizontal="center"/>
    </xf>
    <xf numFmtId="173" fontId="8" fillId="0" borderId="19" xfId="2529" applyNumberFormat="1" applyFont="1" applyBorder="1"/>
    <xf numFmtId="0" fontId="6" fillId="0" borderId="19" xfId="2529" applyBorder="1"/>
    <xf numFmtId="10" fontId="6" fillId="0" borderId="0" xfId="2529" applyNumberFormat="1"/>
    <xf numFmtId="1" fontId="8" fillId="52" borderId="0" xfId="2529" applyNumberFormat="1" applyFont="1" applyFill="1" applyBorder="1"/>
    <xf numFmtId="10" fontId="40" fillId="52" borderId="0" xfId="19345" applyNumberFormat="1" applyFont="1" applyFill="1" applyBorder="1" applyProtection="1"/>
    <xf numFmtId="3" fontId="12" fillId="52" borderId="0" xfId="2529" applyNumberFormat="1" applyFont="1" applyFill="1" applyBorder="1" applyAlignment="1">
      <alignment horizontal="right"/>
    </xf>
    <xf numFmtId="0" fontId="7" fillId="52" borderId="24" xfId="2529" applyFont="1" applyFill="1" applyBorder="1"/>
    <xf numFmtId="10" fontId="56" fillId="0" borderId="13" xfId="19345" applyNumberFormat="1" applyFont="1" applyFill="1" applyBorder="1" applyProtection="1"/>
    <xf numFmtId="10" fontId="56" fillId="0" borderId="23" xfId="19345" applyNumberFormat="1" applyFont="1" applyFill="1" applyBorder="1" applyProtection="1"/>
    <xf numFmtId="10" fontId="56" fillId="0" borderId="26" xfId="19345" applyNumberFormat="1" applyFont="1" applyFill="1" applyBorder="1" applyProtection="1"/>
    <xf numFmtId="10" fontId="8" fillId="52" borderId="0" xfId="2732" applyNumberFormat="1" applyFont="1" applyFill="1"/>
    <xf numFmtId="10" fontId="8" fillId="52" borderId="0" xfId="2732" applyNumberFormat="1" applyFont="1" applyFill="1" applyBorder="1"/>
    <xf numFmtId="166" fontId="8" fillId="52" borderId="0" xfId="2529" applyNumberFormat="1" applyFont="1" applyFill="1"/>
    <xf numFmtId="0" fontId="8" fillId="52" borderId="0" xfId="2529" applyFont="1" applyFill="1"/>
    <xf numFmtId="0" fontId="44" fillId="0" borderId="0" xfId="2529" applyFont="1" applyAlignment="1"/>
    <xf numFmtId="0" fontId="34" fillId="18" borderId="0" xfId="2529" applyFont="1" applyFill="1" applyBorder="1" applyAlignment="1"/>
    <xf numFmtId="0" fontId="6" fillId="0" borderId="0" xfId="2529" applyAlignment="1"/>
    <xf numFmtId="0" fontId="8" fillId="52" borderId="19" xfId="2529" applyFont="1" applyFill="1" applyBorder="1"/>
    <xf numFmtId="0" fontId="8" fillId="52" borderId="18" xfId="2529" applyFont="1" applyFill="1" applyBorder="1"/>
    <xf numFmtId="0" fontId="8" fillId="52" borderId="24" xfId="2529" applyFont="1" applyFill="1" applyBorder="1"/>
    <xf numFmtId="0" fontId="8" fillId="52" borderId="20" xfId="2529" applyFont="1" applyFill="1" applyBorder="1"/>
    <xf numFmtId="3" fontId="8" fillId="0" borderId="0" xfId="2529" applyNumberFormat="1" applyFont="1" applyFill="1"/>
    <xf numFmtId="173" fontId="8" fillId="0" borderId="0" xfId="2529" applyNumberFormat="1" applyFont="1" applyFill="1" applyBorder="1"/>
    <xf numFmtId="0" fontId="8" fillId="0" borderId="19" xfId="2529" applyFont="1" applyFill="1" applyBorder="1"/>
    <xf numFmtId="0" fontId="29" fillId="0" borderId="20" xfId="2529" applyFont="1" applyBorder="1" applyAlignment="1">
      <alignment horizontal="center"/>
    </xf>
    <xf numFmtId="0" fontId="6" fillId="0" borderId="0" xfId="2529" applyFill="1" applyBorder="1"/>
    <xf numFmtId="3" fontId="6" fillId="52" borderId="23" xfId="2529" applyNumberFormat="1" applyFill="1" applyBorder="1"/>
    <xf numFmtId="3" fontId="8" fillId="0" borderId="52" xfId="2529" applyNumberFormat="1" applyFont="1" applyFill="1" applyBorder="1" applyAlignment="1">
      <alignment horizontal="center"/>
    </xf>
    <xf numFmtId="20" fontId="8" fillId="52" borderId="0" xfId="2529" applyNumberFormat="1" applyFont="1" applyFill="1"/>
    <xf numFmtId="0" fontId="8" fillId="0" borderId="0" xfId="2529" quotePrefix="1" applyFont="1"/>
  </cellXfs>
  <cellStyles count="19360">
    <cellStyle name="20% - Accent1" xfId="1" builtinId="30" customBuiltin="1"/>
    <cellStyle name="20% - Accent1 10" xfId="2"/>
    <cellStyle name="20% - Accent1 10 10" xfId="2741"/>
    <cellStyle name="20% - Accent1 10 11" xfId="11067"/>
    <cellStyle name="20% - Accent1 10 2" xfId="3"/>
    <cellStyle name="20% - Accent1 10 2 2" xfId="4"/>
    <cellStyle name="20% - Accent1 10 2 2 2" xfId="6085"/>
    <cellStyle name="20% - Accent1 10 2 2 2 2" xfId="14367"/>
    <cellStyle name="20% - Accent1 10 2 2 3" xfId="8579"/>
    <cellStyle name="20% - Accent1 10 2 2 3 2" xfId="16857"/>
    <cellStyle name="20% - Accent1 10 2 2 4" xfId="2743"/>
    <cellStyle name="20% - Accent1 10 2 2 5" xfId="11069"/>
    <cellStyle name="20% - Accent1 10 2 3" xfId="6084"/>
    <cellStyle name="20% - Accent1 10 2 3 2" xfId="14366"/>
    <cellStyle name="20% - Accent1 10 2 4" xfId="8578"/>
    <cellStyle name="20% - Accent1 10 2 4 2" xfId="16856"/>
    <cellStyle name="20% - Accent1 10 2 5" xfId="2742"/>
    <cellStyle name="20% - Accent1 10 2 6" xfId="11068"/>
    <cellStyle name="20% - Accent1 10 3" xfId="5"/>
    <cellStyle name="20% - Accent1 10 3 2" xfId="6"/>
    <cellStyle name="20% - Accent1 10 3 2 2" xfId="6087"/>
    <cellStyle name="20% - Accent1 10 3 2 2 2" xfId="14369"/>
    <cellStyle name="20% - Accent1 10 3 2 3" xfId="8581"/>
    <cellStyle name="20% - Accent1 10 3 2 3 2" xfId="16859"/>
    <cellStyle name="20% - Accent1 10 3 2 4" xfId="2745"/>
    <cellStyle name="20% - Accent1 10 3 2 5" xfId="11071"/>
    <cellStyle name="20% - Accent1 10 3 3" xfId="6086"/>
    <cellStyle name="20% - Accent1 10 3 3 2" xfId="14368"/>
    <cellStyle name="20% - Accent1 10 3 4" xfId="8580"/>
    <cellStyle name="20% - Accent1 10 3 4 2" xfId="16858"/>
    <cellStyle name="20% - Accent1 10 3 5" xfId="2744"/>
    <cellStyle name="20% - Accent1 10 3 6" xfId="11070"/>
    <cellStyle name="20% - Accent1 10 4" xfId="7"/>
    <cellStyle name="20% - Accent1 10 4 2" xfId="6088"/>
    <cellStyle name="20% - Accent1 10 4 2 2" xfId="14370"/>
    <cellStyle name="20% - Accent1 10 4 3" xfId="8582"/>
    <cellStyle name="20% - Accent1 10 4 3 2" xfId="16860"/>
    <cellStyle name="20% - Accent1 10 4 4" xfId="2746"/>
    <cellStyle name="20% - Accent1 10 4 5" xfId="11072"/>
    <cellStyle name="20% - Accent1 10 5" xfId="8"/>
    <cellStyle name="20% - Accent1 10 5 2" xfId="6089"/>
    <cellStyle name="20% - Accent1 10 5 2 2" xfId="14371"/>
    <cellStyle name="20% - Accent1 10 5 3" xfId="8583"/>
    <cellStyle name="20% - Accent1 10 5 3 2" xfId="16861"/>
    <cellStyle name="20% - Accent1 10 5 4" xfId="2747"/>
    <cellStyle name="20% - Accent1 10 5 5" xfId="11073"/>
    <cellStyle name="20% - Accent1 10 6" xfId="2748"/>
    <cellStyle name="20% - Accent1 10 6 2" xfId="11074"/>
    <cellStyle name="20% - Accent1 10 7" xfId="6027"/>
    <cellStyle name="20% - Accent1 10 7 2" xfId="14309"/>
    <cellStyle name="20% - Accent1 10 8" xfId="6083"/>
    <cellStyle name="20% - Accent1 10 8 2" xfId="14365"/>
    <cellStyle name="20% - Accent1 10 9" xfId="8577"/>
    <cellStyle name="20% - Accent1 10 9 2" xfId="16855"/>
    <cellStyle name="20% - Accent1 11" xfId="9"/>
    <cellStyle name="20% - Accent1 11 10" xfId="11075"/>
    <cellStyle name="20% - Accent1 11 2" xfId="10"/>
    <cellStyle name="20% - Accent1 11 2 2" xfId="11"/>
    <cellStyle name="20% - Accent1 11 2 2 2" xfId="6092"/>
    <cellStyle name="20% - Accent1 11 2 2 2 2" xfId="14374"/>
    <cellStyle name="20% - Accent1 11 2 2 3" xfId="8586"/>
    <cellStyle name="20% - Accent1 11 2 2 3 2" xfId="16864"/>
    <cellStyle name="20% - Accent1 11 2 2 4" xfId="2751"/>
    <cellStyle name="20% - Accent1 11 2 2 5" xfId="11077"/>
    <cellStyle name="20% - Accent1 11 2 3" xfId="6091"/>
    <cellStyle name="20% - Accent1 11 2 3 2" xfId="14373"/>
    <cellStyle name="20% - Accent1 11 2 4" xfId="8585"/>
    <cellStyle name="20% - Accent1 11 2 4 2" xfId="16863"/>
    <cellStyle name="20% - Accent1 11 2 5" xfId="2750"/>
    <cellStyle name="20% - Accent1 11 2 6" xfId="11076"/>
    <cellStyle name="20% - Accent1 11 3" xfId="12"/>
    <cellStyle name="20% - Accent1 11 3 2" xfId="6093"/>
    <cellStyle name="20% - Accent1 11 3 2 2" xfId="14375"/>
    <cellStyle name="20% - Accent1 11 3 3" xfId="8587"/>
    <cellStyle name="20% - Accent1 11 3 3 2" xfId="16865"/>
    <cellStyle name="20% - Accent1 11 3 4" xfId="2752"/>
    <cellStyle name="20% - Accent1 11 3 5" xfId="11078"/>
    <cellStyle name="20% - Accent1 11 4" xfId="13"/>
    <cellStyle name="20% - Accent1 11 4 2" xfId="6094"/>
    <cellStyle name="20% - Accent1 11 4 2 2" xfId="14376"/>
    <cellStyle name="20% - Accent1 11 4 3" xfId="8588"/>
    <cellStyle name="20% - Accent1 11 4 3 2" xfId="16866"/>
    <cellStyle name="20% - Accent1 11 4 4" xfId="2753"/>
    <cellStyle name="20% - Accent1 11 4 5" xfId="11079"/>
    <cellStyle name="20% - Accent1 11 5" xfId="2754"/>
    <cellStyle name="20% - Accent1 11 5 2" xfId="11080"/>
    <cellStyle name="20% - Accent1 11 6" xfId="5711"/>
    <cellStyle name="20% - Accent1 11 6 2" xfId="13997"/>
    <cellStyle name="20% - Accent1 11 7" xfId="6090"/>
    <cellStyle name="20% - Accent1 11 7 2" xfId="14372"/>
    <cellStyle name="20% - Accent1 11 8" xfId="8584"/>
    <cellStyle name="20% - Accent1 11 8 2" xfId="16862"/>
    <cellStyle name="20% - Accent1 11 9" xfId="2749"/>
    <cellStyle name="20% - Accent1 12" xfId="14"/>
    <cellStyle name="20% - Accent1 12 2" xfId="15"/>
    <cellStyle name="20% - Accent1 12 2 2" xfId="6096"/>
    <cellStyle name="20% - Accent1 12 2 2 2" xfId="14378"/>
    <cellStyle name="20% - Accent1 12 2 3" xfId="8590"/>
    <cellStyle name="20% - Accent1 12 2 3 2" xfId="16868"/>
    <cellStyle name="20% - Accent1 12 2 4" xfId="2756"/>
    <cellStyle name="20% - Accent1 12 2 5" xfId="11082"/>
    <cellStyle name="20% - Accent1 12 3" xfId="2757"/>
    <cellStyle name="20% - Accent1 12 3 2" xfId="11083"/>
    <cellStyle name="20% - Accent1 12 4" xfId="6042"/>
    <cellStyle name="20% - Accent1 12 4 2" xfId="14324"/>
    <cellStyle name="20% - Accent1 12 5" xfId="6095"/>
    <cellStyle name="20% - Accent1 12 5 2" xfId="14377"/>
    <cellStyle name="20% - Accent1 12 6" xfId="8589"/>
    <cellStyle name="20% - Accent1 12 6 2" xfId="16867"/>
    <cellStyle name="20% - Accent1 12 7" xfId="2755"/>
    <cellStyle name="20% - Accent1 12 8" xfId="11081"/>
    <cellStyle name="20% - Accent1 13" xfId="16"/>
    <cellStyle name="20% - Accent1 13 2" xfId="17"/>
    <cellStyle name="20% - Accent1 13 2 2" xfId="6098"/>
    <cellStyle name="20% - Accent1 13 2 2 2" xfId="14380"/>
    <cellStyle name="20% - Accent1 13 2 3" xfId="8592"/>
    <cellStyle name="20% - Accent1 13 2 3 2" xfId="16870"/>
    <cellStyle name="20% - Accent1 13 2 4" xfId="2759"/>
    <cellStyle name="20% - Accent1 13 2 5" xfId="11085"/>
    <cellStyle name="20% - Accent1 13 3" xfId="2760"/>
    <cellStyle name="20% - Accent1 13 3 2" xfId="11086"/>
    <cellStyle name="20% - Accent1 13 4" xfId="6056"/>
    <cellStyle name="20% - Accent1 13 4 2" xfId="14338"/>
    <cellStyle name="20% - Accent1 13 5" xfId="6097"/>
    <cellStyle name="20% - Accent1 13 5 2" xfId="14379"/>
    <cellStyle name="20% - Accent1 13 6" xfId="8591"/>
    <cellStyle name="20% - Accent1 13 6 2" xfId="16869"/>
    <cellStyle name="20% - Accent1 13 7" xfId="2758"/>
    <cellStyle name="20% - Accent1 13 8" xfId="11084"/>
    <cellStyle name="20% - Accent1 14" xfId="18"/>
    <cellStyle name="20% - Accent1 14 2" xfId="2762"/>
    <cellStyle name="20% - Accent1 14 2 2" xfId="11088"/>
    <cellStyle name="20% - Accent1 14 3" xfId="6070"/>
    <cellStyle name="20% - Accent1 14 3 2" xfId="14352"/>
    <cellStyle name="20% - Accent1 14 4" xfId="6099"/>
    <cellStyle name="20% - Accent1 14 4 2" xfId="14381"/>
    <cellStyle name="20% - Accent1 14 5" xfId="8593"/>
    <cellStyle name="20% - Accent1 14 5 2" xfId="16871"/>
    <cellStyle name="20% - Accent1 14 6" xfId="2761"/>
    <cellStyle name="20% - Accent1 14 7" xfId="11087"/>
    <cellStyle name="20% - Accent1 15" xfId="19"/>
    <cellStyle name="20% - Accent1 15 2" xfId="6100"/>
    <cellStyle name="20% - Accent1 15 2 2" xfId="14382"/>
    <cellStyle name="20% - Accent1 15 3" xfId="8594"/>
    <cellStyle name="20% - Accent1 15 3 2" xfId="16872"/>
    <cellStyle name="20% - Accent1 15 4" xfId="2763"/>
    <cellStyle name="20% - Accent1 15 5" xfId="11089"/>
    <cellStyle name="20% - Accent1 16" xfId="2764"/>
    <cellStyle name="20% - Accent1 16 2" xfId="11090"/>
    <cellStyle name="20% - Accent1 17" xfId="5623"/>
    <cellStyle name="20% - Accent1 17 2" xfId="13913"/>
    <cellStyle name="20% - Accent1 18" xfId="6082"/>
    <cellStyle name="20% - Accent1 18 2" xfId="14364"/>
    <cellStyle name="20% - Accent1 19" xfId="8576"/>
    <cellStyle name="20% - Accent1 19 2" xfId="16854"/>
    <cellStyle name="20% - Accent1 2" xfId="20"/>
    <cellStyle name="20% - Accent1 2 10" xfId="21"/>
    <cellStyle name="20% - Accent1 2 10 2" xfId="6102"/>
    <cellStyle name="20% - Accent1 2 10 2 2" xfId="14384"/>
    <cellStyle name="20% - Accent1 2 10 3" xfId="8596"/>
    <cellStyle name="20% - Accent1 2 10 3 2" xfId="16874"/>
    <cellStyle name="20% - Accent1 2 10 4" xfId="2766"/>
    <cellStyle name="20% - Accent1 2 10 5" xfId="11092"/>
    <cellStyle name="20% - Accent1 2 11" xfId="22"/>
    <cellStyle name="20% - Accent1 2 11 2" xfId="6103"/>
    <cellStyle name="20% - Accent1 2 11 2 2" xfId="14385"/>
    <cellStyle name="20% - Accent1 2 11 3" xfId="8597"/>
    <cellStyle name="20% - Accent1 2 11 3 2" xfId="16875"/>
    <cellStyle name="20% - Accent1 2 11 4" xfId="2767"/>
    <cellStyle name="20% - Accent1 2 11 5" xfId="11093"/>
    <cellStyle name="20% - Accent1 2 12" xfId="2768"/>
    <cellStyle name="20% - Accent1 2 12 2" xfId="11094"/>
    <cellStyle name="20% - Accent1 2 13" xfId="5638"/>
    <cellStyle name="20% - Accent1 2 13 2" xfId="13927"/>
    <cellStyle name="20% - Accent1 2 14" xfId="6101"/>
    <cellStyle name="20% - Accent1 2 14 2" xfId="14383"/>
    <cellStyle name="20% - Accent1 2 15" xfId="8595"/>
    <cellStyle name="20% - Accent1 2 15 2" xfId="16873"/>
    <cellStyle name="20% - Accent1 2 16" xfId="2765"/>
    <cellStyle name="20% - Accent1 2 17" xfId="11091"/>
    <cellStyle name="20% - Accent1 2 2" xfId="23"/>
    <cellStyle name="20% - Accent1 2 2 10" xfId="5671"/>
    <cellStyle name="20% - Accent1 2 2 10 2" xfId="13957"/>
    <cellStyle name="20% - Accent1 2 2 11" xfId="6104"/>
    <cellStyle name="20% - Accent1 2 2 11 2" xfId="14386"/>
    <cellStyle name="20% - Accent1 2 2 12" xfId="8598"/>
    <cellStyle name="20% - Accent1 2 2 12 2" xfId="16876"/>
    <cellStyle name="20% - Accent1 2 2 13" xfId="2769"/>
    <cellStyle name="20% - Accent1 2 2 14" xfId="11095"/>
    <cellStyle name="20% - Accent1 2 2 2" xfId="24"/>
    <cellStyle name="20% - Accent1 2 2 2 10" xfId="2770"/>
    <cellStyle name="20% - Accent1 2 2 2 11" xfId="11096"/>
    <cellStyle name="20% - Accent1 2 2 2 2" xfId="25"/>
    <cellStyle name="20% - Accent1 2 2 2 2 2" xfId="26"/>
    <cellStyle name="20% - Accent1 2 2 2 2 2 2" xfId="6107"/>
    <cellStyle name="20% - Accent1 2 2 2 2 2 2 2" xfId="14389"/>
    <cellStyle name="20% - Accent1 2 2 2 2 2 3" xfId="8601"/>
    <cellStyle name="20% - Accent1 2 2 2 2 2 3 2" xfId="16879"/>
    <cellStyle name="20% - Accent1 2 2 2 2 2 4" xfId="2772"/>
    <cellStyle name="20% - Accent1 2 2 2 2 2 5" xfId="11098"/>
    <cellStyle name="20% - Accent1 2 2 2 2 3" xfId="6106"/>
    <cellStyle name="20% - Accent1 2 2 2 2 3 2" xfId="14388"/>
    <cellStyle name="20% - Accent1 2 2 2 2 4" xfId="8600"/>
    <cellStyle name="20% - Accent1 2 2 2 2 4 2" xfId="16878"/>
    <cellStyle name="20% - Accent1 2 2 2 2 5" xfId="2771"/>
    <cellStyle name="20% - Accent1 2 2 2 2 6" xfId="11097"/>
    <cellStyle name="20% - Accent1 2 2 2 3" xfId="27"/>
    <cellStyle name="20% - Accent1 2 2 2 3 2" xfId="28"/>
    <cellStyle name="20% - Accent1 2 2 2 3 2 2" xfId="6109"/>
    <cellStyle name="20% - Accent1 2 2 2 3 2 2 2" xfId="14391"/>
    <cellStyle name="20% - Accent1 2 2 2 3 2 3" xfId="8603"/>
    <cellStyle name="20% - Accent1 2 2 2 3 2 3 2" xfId="16881"/>
    <cellStyle name="20% - Accent1 2 2 2 3 2 4" xfId="2774"/>
    <cellStyle name="20% - Accent1 2 2 2 3 2 5" xfId="11100"/>
    <cellStyle name="20% - Accent1 2 2 2 3 3" xfId="6108"/>
    <cellStyle name="20% - Accent1 2 2 2 3 3 2" xfId="14390"/>
    <cellStyle name="20% - Accent1 2 2 2 3 4" xfId="8602"/>
    <cellStyle name="20% - Accent1 2 2 2 3 4 2" xfId="16880"/>
    <cellStyle name="20% - Accent1 2 2 2 3 5" xfId="2773"/>
    <cellStyle name="20% - Accent1 2 2 2 3 6" xfId="11099"/>
    <cellStyle name="20% - Accent1 2 2 2 4" xfId="29"/>
    <cellStyle name="20% - Accent1 2 2 2 4 2" xfId="6110"/>
    <cellStyle name="20% - Accent1 2 2 2 4 2 2" xfId="14392"/>
    <cellStyle name="20% - Accent1 2 2 2 4 3" xfId="8604"/>
    <cellStyle name="20% - Accent1 2 2 2 4 3 2" xfId="16882"/>
    <cellStyle name="20% - Accent1 2 2 2 4 4" xfId="2775"/>
    <cellStyle name="20% - Accent1 2 2 2 4 5" xfId="11101"/>
    <cellStyle name="20% - Accent1 2 2 2 5" xfId="30"/>
    <cellStyle name="20% - Accent1 2 2 2 5 2" xfId="6111"/>
    <cellStyle name="20% - Accent1 2 2 2 5 2 2" xfId="14393"/>
    <cellStyle name="20% - Accent1 2 2 2 5 3" xfId="8605"/>
    <cellStyle name="20% - Accent1 2 2 2 5 3 2" xfId="16883"/>
    <cellStyle name="20% - Accent1 2 2 2 5 4" xfId="2776"/>
    <cellStyle name="20% - Accent1 2 2 2 5 5" xfId="11102"/>
    <cellStyle name="20% - Accent1 2 2 2 6" xfId="2777"/>
    <cellStyle name="20% - Accent1 2 2 2 6 2" xfId="11103"/>
    <cellStyle name="20% - Accent1 2 2 2 7" xfId="5873"/>
    <cellStyle name="20% - Accent1 2 2 2 7 2" xfId="14155"/>
    <cellStyle name="20% - Accent1 2 2 2 8" xfId="6105"/>
    <cellStyle name="20% - Accent1 2 2 2 8 2" xfId="14387"/>
    <cellStyle name="20% - Accent1 2 2 2 9" xfId="8599"/>
    <cellStyle name="20% - Accent1 2 2 2 9 2" xfId="16877"/>
    <cellStyle name="20% - Accent1 2 2 3" xfId="31"/>
    <cellStyle name="20% - Accent1 2 2 3 10" xfId="2778"/>
    <cellStyle name="20% - Accent1 2 2 3 11" xfId="11104"/>
    <cellStyle name="20% - Accent1 2 2 3 2" xfId="32"/>
    <cellStyle name="20% - Accent1 2 2 3 2 2" xfId="33"/>
    <cellStyle name="20% - Accent1 2 2 3 2 2 2" xfId="6114"/>
    <cellStyle name="20% - Accent1 2 2 3 2 2 2 2" xfId="14396"/>
    <cellStyle name="20% - Accent1 2 2 3 2 2 3" xfId="8608"/>
    <cellStyle name="20% - Accent1 2 2 3 2 2 3 2" xfId="16886"/>
    <cellStyle name="20% - Accent1 2 2 3 2 2 4" xfId="2780"/>
    <cellStyle name="20% - Accent1 2 2 3 2 2 5" xfId="11106"/>
    <cellStyle name="20% - Accent1 2 2 3 2 3" xfId="6113"/>
    <cellStyle name="20% - Accent1 2 2 3 2 3 2" xfId="14395"/>
    <cellStyle name="20% - Accent1 2 2 3 2 4" xfId="8607"/>
    <cellStyle name="20% - Accent1 2 2 3 2 4 2" xfId="16885"/>
    <cellStyle name="20% - Accent1 2 2 3 2 5" xfId="2779"/>
    <cellStyle name="20% - Accent1 2 2 3 2 6" xfId="11105"/>
    <cellStyle name="20% - Accent1 2 2 3 3" xfId="34"/>
    <cellStyle name="20% - Accent1 2 2 3 3 2" xfId="35"/>
    <cellStyle name="20% - Accent1 2 2 3 3 2 2" xfId="6116"/>
    <cellStyle name="20% - Accent1 2 2 3 3 2 2 2" xfId="14398"/>
    <cellStyle name="20% - Accent1 2 2 3 3 2 3" xfId="8610"/>
    <cellStyle name="20% - Accent1 2 2 3 3 2 3 2" xfId="16888"/>
    <cellStyle name="20% - Accent1 2 2 3 3 2 4" xfId="2782"/>
    <cellStyle name="20% - Accent1 2 2 3 3 2 5" xfId="11108"/>
    <cellStyle name="20% - Accent1 2 2 3 3 3" xfId="6115"/>
    <cellStyle name="20% - Accent1 2 2 3 3 3 2" xfId="14397"/>
    <cellStyle name="20% - Accent1 2 2 3 3 4" xfId="8609"/>
    <cellStyle name="20% - Accent1 2 2 3 3 4 2" xfId="16887"/>
    <cellStyle name="20% - Accent1 2 2 3 3 5" xfId="2781"/>
    <cellStyle name="20% - Accent1 2 2 3 3 6" xfId="11107"/>
    <cellStyle name="20% - Accent1 2 2 3 4" xfId="36"/>
    <cellStyle name="20% - Accent1 2 2 3 4 2" xfId="6117"/>
    <cellStyle name="20% - Accent1 2 2 3 4 2 2" xfId="14399"/>
    <cellStyle name="20% - Accent1 2 2 3 4 3" xfId="8611"/>
    <cellStyle name="20% - Accent1 2 2 3 4 3 2" xfId="16889"/>
    <cellStyle name="20% - Accent1 2 2 3 4 4" xfId="2783"/>
    <cellStyle name="20% - Accent1 2 2 3 4 5" xfId="11109"/>
    <cellStyle name="20% - Accent1 2 2 3 5" xfId="37"/>
    <cellStyle name="20% - Accent1 2 2 3 5 2" xfId="6118"/>
    <cellStyle name="20% - Accent1 2 2 3 5 2 2" xfId="14400"/>
    <cellStyle name="20% - Accent1 2 2 3 5 3" xfId="8612"/>
    <cellStyle name="20% - Accent1 2 2 3 5 3 2" xfId="16890"/>
    <cellStyle name="20% - Accent1 2 2 3 5 4" xfId="2784"/>
    <cellStyle name="20% - Accent1 2 2 3 5 5" xfId="11110"/>
    <cellStyle name="20% - Accent1 2 2 3 6" xfId="2785"/>
    <cellStyle name="20% - Accent1 2 2 3 6 2" xfId="11111"/>
    <cellStyle name="20% - Accent1 2 2 3 7" xfId="5971"/>
    <cellStyle name="20% - Accent1 2 2 3 7 2" xfId="14253"/>
    <cellStyle name="20% - Accent1 2 2 3 8" xfId="6112"/>
    <cellStyle name="20% - Accent1 2 2 3 8 2" xfId="14394"/>
    <cellStyle name="20% - Accent1 2 2 3 9" xfId="8606"/>
    <cellStyle name="20% - Accent1 2 2 3 9 2" xfId="16884"/>
    <cellStyle name="20% - Accent1 2 2 4" xfId="38"/>
    <cellStyle name="20% - Accent1 2 2 4 10" xfId="11112"/>
    <cellStyle name="20% - Accent1 2 2 4 2" xfId="39"/>
    <cellStyle name="20% - Accent1 2 2 4 2 2" xfId="40"/>
    <cellStyle name="20% - Accent1 2 2 4 2 2 2" xfId="6121"/>
    <cellStyle name="20% - Accent1 2 2 4 2 2 2 2" xfId="14403"/>
    <cellStyle name="20% - Accent1 2 2 4 2 2 3" xfId="8615"/>
    <cellStyle name="20% - Accent1 2 2 4 2 2 3 2" xfId="16893"/>
    <cellStyle name="20% - Accent1 2 2 4 2 2 4" xfId="2788"/>
    <cellStyle name="20% - Accent1 2 2 4 2 2 5" xfId="11114"/>
    <cellStyle name="20% - Accent1 2 2 4 2 3" xfId="6120"/>
    <cellStyle name="20% - Accent1 2 2 4 2 3 2" xfId="14402"/>
    <cellStyle name="20% - Accent1 2 2 4 2 4" xfId="8614"/>
    <cellStyle name="20% - Accent1 2 2 4 2 4 2" xfId="16892"/>
    <cellStyle name="20% - Accent1 2 2 4 2 5" xfId="2787"/>
    <cellStyle name="20% - Accent1 2 2 4 2 6" xfId="11113"/>
    <cellStyle name="20% - Accent1 2 2 4 3" xfId="41"/>
    <cellStyle name="20% - Accent1 2 2 4 3 2" xfId="6122"/>
    <cellStyle name="20% - Accent1 2 2 4 3 2 2" xfId="14404"/>
    <cellStyle name="20% - Accent1 2 2 4 3 3" xfId="8616"/>
    <cellStyle name="20% - Accent1 2 2 4 3 3 2" xfId="16894"/>
    <cellStyle name="20% - Accent1 2 2 4 3 4" xfId="2789"/>
    <cellStyle name="20% - Accent1 2 2 4 3 5" xfId="11115"/>
    <cellStyle name="20% - Accent1 2 2 4 4" xfId="42"/>
    <cellStyle name="20% - Accent1 2 2 4 4 2" xfId="6123"/>
    <cellStyle name="20% - Accent1 2 2 4 4 2 2" xfId="14405"/>
    <cellStyle name="20% - Accent1 2 2 4 4 3" xfId="8617"/>
    <cellStyle name="20% - Accent1 2 2 4 4 3 2" xfId="16895"/>
    <cellStyle name="20% - Accent1 2 2 4 4 4" xfId="2790"/>
    <cellStyle name="20% - Accent1 2 2 4 4 5" xfId="11116"/>
    <cellStyle name="20% - Accent1 2 2 4 5" xfId="2791"/>
    <cellStyle name="20% - Accent1 2 2 4 5 2" xfId="11117"/>
    <cellStyle name="20% - Accent1 2 2 4 6" xfId="5787"/>
    <cellStyle name="20% - Accent1 2 2 4 6 2" xfId="14069"/>
    <cellStyle name="20% - Accent1 2 2 4 7" xfId="6119"/>
    <cellStyle name="20% - Accent1 2 2 4 7 2" xfId="14401"/>
    <cellStyle name="20% - Accent1 2 2 4 8" xfId="8613"/>
    <cellStyle name="20% - Accent1 2 2 4 8 2" xfId="16891"/>
    <cellStyle name="20% - Accent1 2 2 4 9" xfId="2786"/>
    <cellStyle name="20% - Accent1 2 2 5" xfId="43"/>
    <cellStyle name="20% - Accent1 2 2 5 2" xfId="44"/>
    <cellStyle name="20% - Accent1 2 2 5 2 2" xfId="6125"/>
    <cellStyle name="20% - Accent1 2 2 5 2 2 2" xfId="14407"/>
    <cellStyle name="20% - Accent1 2 2 5 2 3" xfId="8619"/>
    <cellStyle name="20% - Accent1 2 2 5 2 3 2" xfId="16897"/>
    <cellStyle name="20% - Accent1 2 2 5 2 4" xfId="2793"/>
    <cellStyle name="20% - Accent1 2 2 5 2 5" xfId="11119"/>
    <cellStyle name="20% - Accent1 2 2 5 3" xfId="6124"/>
    <cellStyle name="20% - Accent1 2 2 5 3 2" xfId="14406"/>
    <cellStyle name="20% - Accent1 2 2 5 4" xfId="8618"/>
    <cellStyle name="20% - Accent1 2 2 5 4 2" xfId="16896"/>
    <cellStyle name="20% - Accent1 2 2 5 5" xfId="2792"/>
    <cellStyle name="20% - Accent1 2 2 5 6" xfId="11118"/>
    <cellStyle name="20% - Accent1 2 2 6" xfId="45"/>
    <cellStyle name="20% - Accent1 2 2 6 2" xfId="46"/>
    <cellStyle name="20% - Accent1 2 2 6 2 2" xfId="6127"/>
    <cellStyle name="20% - Accent1 2 2 6 2 2 2" xfId="14409"/>
    <cellStyle name="20% - Accent1 2 2 6 2 3" xfId="8621"/>
    <cellStyle name="20% - Accent1 2 2 6 2 3 2" xfId="16899"/>
    <cellStyle name="20% - Accent1 2 2 6 2 4" xfId="2795"/>
    <cellStyle name="20% - Accent1 2 2 6 2 5" xfId="11121"/>
    <cellStyle name="20% - Accent1 2 2 6 3" xfId="6126"/>
    <cellStyle name="20% - Accent1 2 2 6 3 2" xfId="14408"/>
    <cellStyle name="20% - Accent1 2 2 6 4" xfId="8620"/>
    <cellStyle name="20% - Accent1 2 2 6 4 2" xfId="16898"/>
    <cellStyle name="20% - Accent1 2 2 6 5" xfId="2794"/>
    <cellStyle name="20% - Accent1 2 2 6 6" xfId="11120"/>
    <cellStyle name="20% - Accent1 2 2 7" xfId="47"/>
    <cellStyle name="20% - Accent1 2 2 7 2" xfId="6128"/>
    <cellStyle name="20% - Accent1 2 2 7 2 2" xfId="14410"/>
    <cellStyle name="20% - Accent1 2 2 7 3" xfId="8622"/>
    <cellStyle name="20% - Accent1 2 2 7 3 2" xfId="16900"/>
    <cellStyle name="20% - Accent1 2 2 7 4" xfId="2796"/>
    <cellStyle name="20% - Accent1 2 2 7 5" xfId="11122"/>
    <cellStyle name="20% - Accent1 2 2 8" xfId="48"/>
    <cellStyle name="20% - Accent1 2 2 8 2" xfId="6129"/>
    <cellStyle name="20% - Accent1 2 2 8 2 2" xfId="14411"/>
    <cellStyle name="20% - Accent1 2 2 8 3" xfId="8623"/>
    <cellStyle name="20% - Accent1 2 2 8 3 2" xfId="16901"/>
    <cellStyle name="20% - Accent1 2 2 8 4" xfId="2797"/>
    <cellStyle name="20% - Accent1 2 2 8 5" xfId="11123"/>
    <cellStyle name="20% - Accent1 2 2 9" xfId="2798"/>
    <cellStyle name="20% - Accent1 2 2 9 2" xfId="11124"/>
    <cellStyle name="20% - Accent1 2 3" xfId="49"/>
    <cellStyle name="20% - Accent1 2 3 10" xfId="5699"/>
    <cellStyle name="20% - Accent1 2 3 10 2" xfId="13985"/>
    <cellStyle name="20% - Accent1 2 3 11" xfId="6130"/>
    <cellStyle name="20% - Accent1 2 3 11 2" xfId="14412"/>
    <cellStyle name="20% - Accent1 2 3 12" xfId="8624"/>
    <cellStyle name="20% - Accent1 2 3 12 2" xfId="16902"/>
    <cellStyle name="20% - Accent1 2 3 13" xfId="2799"/>
    <cellStyle name="20% - Accent1 2 3 14" xfId="11125"/>
    <cellStyle name="20% - Accent1 2 3 2" xfId="50"/>
    <cellStyle name="20% - Accent1 2 3 2 10" xfId="2800"/>
    <cellStyle name="20% - Accent1 2 3 2 11" xfId="11126"/>
    <cellStyle name="20% - Accent1 2 3 2 2" xfId="51"/>
    <cellStyle name="20% - Accent1 2 3 2 2 2" xfId="52"/>
    <cellStyle name="20% - Accent1 2 3 2 2 2 2" xfId="6133"/>
    <cellStyle name="20% - Accent1 2 3 2 2 2 2 2" xfId="14415"/>
    <cellStyle name="20% - Accent1 2 3 2 2 2 3" xfId="8627"/>
    <cellStyle name="20% - Accent1 2 3 2 2 2 3 2" xfId="16905"/>
    <cellStyle name="20% - Accent1 2 3 2 2 2 4" xfId="2802"/>
    <cellStyle name="20% - Accent1 2 3 2 2 2 5" xfId="11128"/>
    <cellStyle name="20% - Accent1 2 3 2 2 3" xfId="6132"/>
    <cellStyle name="20% - Accent1 2 3 2 2 3 2" xfId="14414"/>
    <cellStyle name="20% - Accent1 2 3 2 2 4" xfId="8626"/>
    <cellStyle name="20% - Accent1 2 3 2 2 4 2" xfId="16904"/>
    <cellStyle name="20% - Accent1 2 3 2 2 5" xfId="2801"/>
    <cellStyle name="20% - Accent1 2 3 2 2 6" xfId="11127"/>
    <cellStyle name="20% - Accent1 2 3 2 3" xfId="53"/>
    <cellStyle name="20% - Accent1 2 3 2 3 2" xfId="54"/>
    <cellStyle name="20% - Accent1 2 3 2 3 2 2" xfId="6135"/>
    <cellStyle name="20% - Accent1 2 3 2 3 2 2 2" xfId="14417"/>
    <cellStyle name="20% - Accent1 2 3 2 3 2 3" xfId="8629"/>
    <cellStyle name="20% - Accent1 2 3 2 3 2 3 2" xfId="16907"/>
    <cellStyle name="20% - Accent1 2 3 2 3 2 4" xfId="2804"/>
    <cellStyle name="20% - Accent1 2 3 2 3 2 5" xfId="11130"/>
    <cellStyle name="20% - Accent1 2 3 2 3 3" xfId="6134"/>
    <cellStyle name="20% - Accent1 2 3 2 3 3 2" xfId="14416"/>
    <cellStyle name="20% - Accent1 2 3 2 3 4" xfId="8628"/>
    <cellStyle name="20% - Accent1 2 3 2 3 4 2" xfId="16906"/>
    <cellStyle name="20% - Accent1 2 3 2 3 5" xfId="2803"/>
    <cellStyle name="20% - Accent1 2 3 2 3 6" xfId="11129"/>
    <cellStyle name="20% - Accent1 2 3 2 4" xfId="55"/>
    <cellStyle name="20% - Accent1 2 3 2 4 2" xfId="6136"/>
    <cellStyle name="20% - Accent1 2 3 2 4 2 2" xfId="14418"/>
    <cellStyle name="20% - Accent1 2 3 2 4 3" xfId="8630"/>
    <cellStyle name="20% - Accent1 2 3 2 4 3 2" xfId="16908"/>
    <cellStyle name="20% - Accent1 2 3 2 4 4" xfId="2805"/>
    <cellStyle name="20% - Accent1 2 3 2 4 5" xfId="11131"/>
    <cellStyle name="20% - Accent1 2 3 2 5" xfId="56"/>
    <cellStyle name="20% - Accent1 2 3 2 5 2" xfId="6137"/>
    <cellStyle name="20% - Accent1 2 3 2 5 2 2" xfId="14419"/>
    <cellStyle name="20% - Accent1 2 3 2 5 3" xfId="8631"/>
    <cellStyle name="20% - Accent1 2 3 2 5 3 2" xfId="16909"/>
    <cellStyle name="20% - Accent1 2 3 2 5 4" xfId="2806"/>
    <cellStyle name="20% - Accent1 2 3 2 5 5" xfId="11132"/>
    <cellStyle name="20% - Accent1 2 3 2 6" xfId="2807"/>
    <cellStyle name="20% - Accent1 2 3 2 6 2" xfId="11133"/>
    <cellStyle name="20% - Accent1 2 3 2 7" xfId="5901"/>
    <cellStyle name="20% - Accent1 2 3 2 7 2" xfId="14183"/>
    <cellStyle name="20% - Accent1 2 3 2 8" xfId="6131"/>
    <cellStyle name="20% - Accent1 2 3 2 8 2" xfId="14413"/>
    <cellStyle name="20% - Accent1 2 3 2 9" xfId="8625"/>
    <cellStyle name="20% - Accent1 2 3 2 9 2" xfId="16903"/>
    <cellStyle name="20% - Accent1 2 3 3" xfId="57"/>
    <cellStyle name="20% - Accent1 2 3 3 10" xfId="2808"/>
    <cellStyle name="20% - Accent1 2 3 3 11" xfId="11134"/>
    <cellStyle name="20% - Accent1 2 3 3 2" xfId="58"/>
    <cellStyle name="20% - Accent1 2 3 3 2 2" xfId="59"/>
    <cellStyle name="20% - Accent1 2 3 3 2 2 2" xfId="6140"/>
    <cellStyle name="20% - Accent1 2 3 3 2 2 2 2" xfId="14422"/>
    <cellStyle name="20% - Accent1 2 3 3 2 2 3" xfId="8634"/>
    <cellStyle name="20% - Accent1 2 3 3 2 2 3 2" xfId="16912"/>
    <cellStyle name="20% - Accent1 2 3 3 2 2 4" xfId="2810"/>
    <cellStyle name="20% - Accent1 2 3 3 2 2 5" xfId="11136"/>
    <cellStyle name="20% - Accent1 2 3 3 2 3" xfId="6139"/>
    <cellStyle name="20% - Accent1 2 3 3 2 3 2" xfId="14421"/>
    <cellStyle name="20% - Accent1 2 3 3 2 4" xfId="8633"/>
    <cellStyle name="20% - Accent1 2 3 3 2 4 2" xfId="16911"/>
    <cellStyle name="20% - Accent1 2 3 3 2 5" xfId="2809"/>
    <cellStyle name="20% - Accent1 2 3 3 2 6" xfId="11135"/>
    <cellStyle name="20% - Accent1 2 3 3 3" xfId="60"/>
    <cellStyle name="20% - Accent1 2 3 3 3 2" xfId="61"/>
    <cellStyle name="20% - Accent1 2 3 3 3 2 2" xfId="6142"/>
    <cellStyle name="20% - Accent1 2 3 3 3 2 2 2" xfId="14424"/>
    <cellStyle name="20% - Accent1 2 3 3 3 2 3" xfId="8636"/>
    <cellStyle name="20% - Accent1 2 3 3 3 2 3 2" xfId="16914"/>
    <cellStyle name="20% - Accent1 2 3 3 3 2 4" xfId="2812"/>
    <cellStyle name="20% - Accent1 2 3 3 3 2 5" xfId="11138"/>
    <cellStyle name="20% - Accent1 2 3 3 3 3" xfId="6141"/>
    <cellStyle name="20% - Accent1 2 3 3 3 3 2" xfId="14423"/>
    <cellStyle name="20% - Accent1 2 3 3 3 4" xfId="8635"/>
    <cellStyle name="20% - Accent1 2 3 3 3 4 2" xfId="16913"/>
    <cellStyle name="20% - Accent1 2 3 3 3 5" xfId="2811"/>
    <cellStyle name="20% - Accent1 2 3 3 3 6" xfId="11137"/>
    <cellStyle name="20% - Accent1 2 3 3 4" xfId="62"/>
    <cellStyle name="20% - Accent1 2 3 3 4 2" xfId="6143"/>
    <cellStyle name="20% - Accent1 2 3 3 4 2 2" xfId="14425"/>
    <cellStyle name="20% - Accent1 2 3 3 4 3" xfId="8637"/>
    <cellStyle name="20% - Accent1 2 3 3 4 3 2" xfId="16915"/>
    <cellStyle name="20% - Accent1 2 3 3 4 4" xfId="2813"/>
    <cellStyle name="20% - Accent1 2 3 3 4 5" xfId="11139"/>
    <cellStyle name="20% - Accent1 2 3 3 5" xfId="63"/>
    <cellStyle name="20% - Accent1 2 3 3 5 2" xfId="6144"/>
    <cellStyle name="20% - Accent1 2 3 3 5 2 2" xfId="14426"/>
    <cellStyle name="20% - Accent1 2 3 3 5 3" xfId="8638"/>
    <cellStyle name="20% - Accent1 2 3 3 5 3 2" xfId="16916"/>
    <cellStyle name="20% - Accent1 2 3 3 5 4" xfId="2814"/>
    <cellStyle name="20% - Accent1 2 3 3 5 5" xfId="11140"/>
    <cellStyle name="20% - Accent1 2 3 3 6" xfId="2815"/>
    <cellStyle name="20% - Accent1 2 3 3 6 2" xfId="11141"/>
    <cellStyle name="20% - Accent1 2 3 3 7" xfId="5999"/>
    <cellStyle name="20% - Accent1 2 3 3 7 2" xfId="14281"/>
    <cellStyle name="20% - Accent1 2 3 3 8" xfId="6138"/>
    <cellStyle name="20% - Accent1 2 3 3 8 2" xfId="14420"/>
    <cellStyle name="20% - Accent1 2 3 3 9" xfId="8632"/>
    <cellStyle name="20% - Accent1 2 3 3 9 2" xfId="16910"/>
    <cellStyle name="20% - Accent1 2 3 4" xfId="64"/>
    <cellStyle name="20% - Accent1 2 3 4 10" xfId="11142"/>
    <cellStyle name="20% - Accent1 2 3 4 2" xfId="65"/>
    <cellStyle name="20% - Accent1 2 3 4 2 2" xfId="66"/>
    <cellStyle name="20% - Accent1 2 3 4 2 2 2" xfId="6147"/>
    <cellStyle name="20% - Accent1 2 3 4 2 2 2 2" xfId="14429"/>
    <cellStyle name="20% - Accent1 2 3 4 2 2 3" xfId="8641"/>
    <cellStyle name="20% - Accent1 2 3 4 2 2 3 2" xfId="16919"/>
    <cellStyle name="20% - Accent1 2 3 4 2 2 4" xfId="2818"/>
    <cellStyle name="20% - Accent1 2 3 4 2 2 5" xfId="11144"/>
    <cellStyle name="20% - Accent1 2 3 4 2 3" xfId="6146"/>
    <cellStyle name="20% - Accent1 2 3 4 2 3 2" xfId="14428"/>
    <cellStyle name="20% - Accent1 2 3 4 2 4" xfId="8640"/>
    <cellStyle name="20% - Accent1 2 3 4 2 4 2" xfId="16918"/>
    <cellStyle name="20% - Accent1 2 3 4 2 5" xfId="2817"/>
    <cellStyle name="20% - Accent1 2 3 4 2 6" xfId="11143"/>
    <cellStyle name="20% - Accent1 2 3 4 3" xfId="67"/>
    <cellStyle name="20% - Accent1 2 3 4 3 2" xfId="6148"/>
    <cellStyle name="20% - Accent1 2 3 4 3 2 2" xfId="14430"/>
    <cellStyle name="20% - Accent1 2 3 4 3 3" xfId="8642"/>
    <cellStyle name="20% - Accent1 2 3 4 3 3 2" xfId="16920"/>
    <cellStyle name="20% - Accent1 2 3 4 3 4" xfId="2819"/>
    <cellStyle name="20% - Accent1 2 3 4 3 5" xfId="11145"/>
    <cellStyle name="20% - Accent1 2 3 4 4" xfId="68"/>
    <cellStyle name="20% - Accent1 2 3 4 4 2" xfId="6149"/>
    <cellStyle name="20% - Accent1 2 3 4 4 2 2" xfId="14431"/>
    <cellStyle name="20% - Accent1 2 3 4 4 3" xfId="8643"/>
    <cellStyle name="20% - Accent1 2 3 4 4 3 2" xfId="16921"/>
    <cellStyle name="20% - Accent1 2 3 4 4 4" xfId="2820"/>
    <cellStyle name="20% - Accent1 2 3 4 4 5" xfId="11146"/>
    <cellStyle name="20% - Accent1 2 3 4 5" xfId="2821"/>
    <cellStyle name="20% - Accent1 2 3 4 5 2" xfId="11147"/>
    <cellStyle name="20% - Accent1 2 3 4 6" xfId="5815"/>
    <cellStyle name="20% - Accent1 2 3 4 6 2" xfId="14097"/>
    <cellStyle name="20% - Accent1 2 3 4 7" xfId="6145"/>
    <cellStyle name="20% - Accent1 2 3 4 7 2" xfId="14427"/>
    <cellStyle name="20% - Accent1 2 3 4 8" xfId="8639"/>
    <cellStyle name="20% - Accent1 2 3 4 8 2" xfId="16917"/>
    <cellStyle name="20% - Accent1 2 3 4 9" xfId="2816"/>
    <cellStyle name="20% - Accent1 2 3 5" xfId="69"/>
    <cellStyle name="20% - Accent1 2 3 5 2" xfId="70"/>
    <cellStyle name="20% - Accent1 2 3 5 2 2" xfId="6151"/>
    <cellStyle name="20% - Accent1 2 3 5 2 2 2" xfId="14433"/>
    <cellStyle name="20% - Accent1 2 3 5 2 3" xfId="8645"/>
    <cellStyle name="20% - Accent1 2 3 5 2 3 2" xfId="16923"/>
    <cellStyle name="20% - Accent1 2 3 5 2 4" xfId="2823"/>
    <cellStyle name="20% - Accent1 2 3 5 2 5" xfId="11149"/>
    <cellStyle name="20% - Accent1 2 3 5 3" xfId="6150"/>
    <cellStyle name="20% - Accent1 2 3 5 3 2" xfId="14432"/>
    <cellStyle name="20% - Accent1 2 3 5 4" xfId="8644"/>
    <cellStyle name="20% - Accent1 2 3 5 4 2" xfId="16922"/>
    <cellStyle name="20% - Accent1 2 3 5 5" xfId="2822"/>
    <cellStyle name="20% - Accent1 2 3 5 6" xfId="11148"/>
    <cellStyle name="20% - Accent1 2 3 6" xfId="71"/>
    <cellStyle name="20% - Accent1 2 3 6 2" xfId="72"/>
    <cellStyle name="20% - Accent1 2 3 6 2 2" xfId="6153"/>
    <cellStyle name="20% - Accent1 2 3 6 2 2 2" xfId="14435"/>
    <cellStyle name="20% - Accent1 2 3 6 2 3" xfId="8647"/>
    <cellStyle name="20% - Accent1 2 3 6 2 3 2" xfId="16925"/>
    <cellStyle name="20% - Accent1 2 3 6 2 4" xfId="2825"/>
    <cellStyle name="20% - Accent1 2 3 6 2 5" xfId="11151"/>
    <cellStyle name="20% - Accent1 2 3 6 3" xfId="6152"/>
    <cellStyle name="20% - Accent1 2 3 6 3 2" xfId="14434"/>
    <cellStyle name="20% - Accent1 2 3 6 4" xfId="8646"/>
    <cellStyle name="20% - Accent1 2 3 6 4 2" xfId="16924"/>
    <cellStyle name="20% - Accent1 2 3 6 5" xfId="2824"/>
    <cellStyle name="20% - Accent1 2 3 6 6" xfId="11150"/>
    <cellStyle name="20% - Accent1 2 3 7" xfId="73"/>
    <cellStyle name="20% - Accent1 2 3 7 2" xfId="6154"/>
    <cellStyle name="20% - Accent1 2 3 7 2 2" xfId="14436"/>
    <cellStyle name="20% - Accent1 2 3 7 3" xfId="8648"/>
    <cellStyle name="20% - Accent1 2 3 7 3 2" xfId="16926"/>
    <cellStyle name="20% - Accent1 2 3 7 4" xfId="2826"/>
    <cellStyle name="20% - Accent1 2 3 7 5" xfId="11152"/>
    <cellStyle name="20% - Accent1 2 3 8" xfId="74"/>
    <cellStyle name="20% - Accent1 2 3 8 2" xfId="6155"/>
    <cellStyle name="20% - Accent1 2 3 8 2 2" xfId="14437"/>
    <cellStyle name="20% - Accent1 2 3 8 3" xfId="8649"/>
    <cellStyle name="20% - Accent1 2 3 8 3 2" xfId="16927"/>
    <cellStyle name="20% - Accent1 2 3 8 4" xfId="2827"/>
    <cellStyle name="20% - Accent1 2 3 8 5" xfId="11153"/>
    <cellStyle name="20% - Accent1 2 3 9" xfId="2828"/>
    <cellStyle name="20% - Accent1 2 3 9 2" xfId="11154"/>
    <cellStyle name="20% - Accent1 2 4" xfId="75"/>
    <cellStyle name="20% - Accent1 2 4 10" xfId="2829"/>
    <cellStyle name="20% - Accent1 2 4 11" xfId="11155"/>
    <cellStyle name="20% - Accent1 2 4 2" xfId="76"/>
    <cellStyle name="20% - Accent1 2 4 2 2" xfId="77"/>
    <cellStyle name="20% - Accent1 2 4 2 2 2" xfId="6158"/>
    <cellStyle name="20% - Accent1 2 4 2 2 2 2" xfId="14440"/>
    <cellStyle name="20% - Accent1 2 4 2 2 3" xfId="8652"/>
    <cellStyle name="20% - Accent1 2 4 2 2 3 2" xfId="16930"/>
    <cellStyle name="20% - Accent1 2 4 2 2 4" xfId="2831"/>
    <cellStyle name="20% - Accent1 2 4 2 2 5" xfId="11157"/>
    <cellStyle name="20% - Accent1 2 4 2 3" xfId="6157"/>
    <cellStyle name="20% - Accent1 2 4 2 3 2" xfId="14439"/>
    <cellStyle name="20% - Accent1 2 4 2 4" xfId="8651"/>
    <cellStyle name="20% - Accent1 2 4 2 4 2" xfId="16929"/>
    <cellStyle name="20% - Accent1 2 4 2 5" xfId="2830"/>
    <cellStyle name="20% - Accent1 2 4 2 6" xfId="11156"/>
    <cellStyle name="20% - Accent1 2 4 3" xfId="78"/>
    <cellStyle name="20% - Accent1 2 4 3 2" xfId="79"/>
    <cellStyle name="20% - Accent1 2 4 3 2 2" xfId="6160"/>
    <cellStyle name="20% - Accent1 2 4 3 2 2 2" xfId="14442"/>
    <cellStyle name="20% - Accent1 2 4 3 2 3" xfId="8654"/>
    <cellStyle name="20% - Accent1 2 4 3 2 3 2" xfId="16932"/>
    <cellStyle name="20% - Accent1 2 4 3 2 4" xfId="2833"/>
    <cellStyle name="20% - Accent1 2 4 3 2 5" xfId="11159"/>
    <cellStyle name="20% - Accent1 2 4 3 3" xfId="6159"/>
    <cellStyle name="20% - Accent1 2 4 3 3 2" xfId="14441"/>
    <cellStyle name="20% - Accent1 2 4 3 4" xfId="8653"/>
    <cellStyle name="20% - Accent1 2 4 3 4 2" xfId="16931"/>
    <cellStyle name="20% - Accent1 2 4 3 5" xfId="2832"/>
    <cellStyle name="20% - Accent1 2 4 3 6" xfId="11158"/>
    <cellStyle name="20% - Accent1 2 4 4" xfId="80"/>
    <cellStyle name="20% - Accent1 2 4 4 2" xfId="6161"/>
    <cellStyle name="20% - Accent1 2 4 4 2 2" xfId="14443"/>
    <cellStyle name="20% - Accent1 2 4 4 3" xfId="8655"/>
    <cellStyle name="20% - Accent1 2 4 4 3 2" xfId="16933"/>
    <cellStyle name="20% - Accent1 2 4 4 4" xfId="2834"/>
    <cellStyle name="20% - Accent1 2 4 4 5" xfId="11160"/>
    <cellStyle name="20% - Accent1 2 4 5" xfId="81"/>
    <cellStyle name="20% - Accent1 2 4 5 2" xfId="6162"/>
    <cellStyle name="20% - Accent1 2 4 5 2 2" xfId="14444"/>
    <cellStyle name="20% - Accent1 2 4 5 3" xfId="8656"/>
    <cellStyle name="20% - Accent1 2 4 5 3 2" xfId="16934"/>
    <cellStyle name="20% - Accent1 2 4 5 4" xfId="2835"/>
    <cellStyle name="20% - Accent1 2 4 5 5" xfId="11161"/>
    <cellStyle name="20% - Accent1 2 4 6" xfId="2836"/>
    <cellStyle name="20% - Accent1 2 4 6 2" xfId="11162"/>
    <cellStyle name="20% - Accent1 2 4 7" xfId="5755"/>
    <cellStyle name="20% - Accent1 2 4 7 2" xfId="14039"/>
    <cellStyle name="20% - Accent1 2 4 8" xfId="6156"/>
    <cellStyle name="20% - Accent1 2 4 8 2" xfId="14438"/>
    <cellStyle name="20% - Accent1 2 4 9" xfId="8650"/>
    <cellStyle name="20% - Accent1 2 4 9 2" xfId="16928"/>
    <cellStyle name="20% - Accent1 2 5" xfId="82"/>
    <cellStyle name="20% - Accent1 2 5 10" xfId="2837"/>
    <cellStyle name="20% - Accent1 2 5 11" xfId="11163"/>
    <cellStyle name="20% - Accent1 2 5 2" xfId="83"/>
    <cellStyle name="20% - Accent1 2 5 2 2" xfId="84"/>
    <cellStyle name="20% - Accent1 2 5 2 2 2" xfId="6165"/>
    <cellStyle name="20% - Accent1 2 5 2 2 2 2" xfId="14447"/>
    <cellStyle name="20% - Accent1 2 5 2 2 3" xfId="8659"/>
    <cellStyle name="20% - Accent1 2 5 2 2 3 2" xfId="16937"/>
    <cellStyle name="20% - Accent1 2 5 2 2 4" xfId="2839"/>
    <cellStyle name="20% - Accent1 2 5 2 2 5" xfId="11165"/>
    <cellStyle name="20% - Accent1 2 5 2 3" xfId="6164"/>
    <cellStyle name="20% - Accent1 2 5 2 3 2" xfId="14446"/>
    <cellStyle name="20% - Accent1 2 5 2 4" xfId="8658"/>
    <cellStyle name="20% - Accent1 2 5 2 4 2" xfId="16936"/>
    <cellStyle name="20% - Accent1 2 5 2 5" xfId="2838"/>
    <cellStyle name="20% - Accent1 2 5 2 6" xfId="11164"/>
    <cellStyle name="20% - Accent1 2 5 3" xfId="85"/>
    <cellStyle name="20% - Accent1 2 5 3 2" xfId="86"/>
    <cellStyle name="20% - Accent1 2 5 3 2 2" xfId="6167"/>
    <cellStyle name="20% - Accent1 2 5 3 2 2 2" xfId="14449"/>
    <cellStyle name="20% - Accent1 2 5 3 2 3" xfId="8661"/>
    <cellStyle name="20% - Accent1 2 5 3 2 3 2" xfId="16939"/>
    <cellStyle name="20% - Accent1 2 5 3 2 4" xfId="2841"/>
    <cellStyle name="20% - Accent1 2 5 3 2 5" xfId="11167"/>
    <cellStyle name="20% - Accent1 2 5 3 3" xfId="6166"/>
    <cellStyle name="20% - Accent1 2 5 3 3 2" xfId="14448"/>
    <cellStyle name="20% - Accent1 2 5 3 4" xfId="8660"/>
    <cellStyle name="20% - Accent1 2 5 3 4 2" xfId="16938"/>
    <cellStyle name="20% - Accent1 2 5 3 5" xfId="2840"/>
    <cellStyle name="20% - Accent1 2 5 3 6" xfId="11166"/>
    <cellStyle name="20% - Accent1 2 5 4" xfId="87"/>
    <cellStyle name="20% - Accent1 2 5 4 2" xfId="6168"/>
    <cellStyle name="20% - Accent1 2 5 4 2 2" xfId="14450"/>
    <cellStyle name="20% - Accent1 2 5 4 3" xfId="8662"/>
    <cellStyle name="20% - Accent1 2 5 4 3 2" xfId="16940"/>
    <cellStyle name="20% - Accent1 2 5 4 4" xfId="2842"/>
    <cellStyle name="20% - Accent1 2 5 4 5" xfId="11168"/>
    <cellStyle name="20% - Accent1 2 5 5" xfId="88"/>
    <cellStyle name="20% - Accent1 2 5 5 2" xfId="6169"/>
    <cellStyle name="20% - Accent1 2 5 5 2 2" xfId="14451"/>
    <cellStyle name="20% - Accent1 2 5 5 3" xfId="8663"/>
    <cellStyle name="20% - Accent1 2 5 5 3 2" xfId="16941"/>
    <cellStyle name="20% - Accent1 2 5 5 4" xfId="2843"/>
    <cellStyle name="20% - Accent1 2 5 5 5" xfId="11169"/>
    <cellStyle name="20% - Accent1 2 5 6" xfId="2844"/>
    <cellStyle name="20% - Accent1 2 5 6 2" xfId="11170"/>
    <cellStyle name="20% - Accent1 2 5 7" xfId="5843"/>
    <cellStyle name="20% - Accent1 2 5 7 2" xfId="14125"/>
    <cellStyle name="20% - Accent1 2 5 8" xfId="6163"/>
    <cellStyle name="20% - Accent1 2 5 8 2" xfId="14445"/>
    <cellStyle name="20% - Accent1 2 5 9" xfId="8657"/>
    <cellStyle name="20% - Accent1 2 5 9 2" xfId="16935"/>
    <cellStyle name="20% - Accent1 2 6" xfId="89"/>
    <cellStyle name="20% - Accent1 2 6 10" xfId="2845"/>
    <cellStyle name="20% - Accent1 2 6 11" xfId="11171"/>
    <cellStyle name="20% - Accent1 2 6 2" xfId="90"/>
    <cellStyle name="20% - Accent1 2 6 2 2" xfId="91"/>
    <cellStyle name="20% - Accent1 2 6 2 2 2" xfId="6172"/>
    <cellStyle name="20% - Accent1 2 6 2 2 2 2" xfId="14454"/>
    <cellStyle name="20% - Accent1 2 6 2 2 3" xfId="8666"/>
    <cellStyle name="20% - Accent1 2 6 2 2 3 2" xfId="16944"/>
    <cellStyle name="20% - Accent1 2 6 2 2 4" xfId="2847"/>
    <cellStyle name="20% - Accent1 2 6 2 2 5" xfId="11173"/>
    <cellStyle name="20% - Accent1 2 6 2 3" xfId="6171"/>
    <cellStyle name="20% - Accent1 2 6 2 3 2" xfId="14453"/>
    <cellStyle name="20% - Accent1 2 6 2 4" xfId="8665"/>
    <cellStyle name="20% - Accent1 2 6 2 4 2" xfId="16943"/>
    <cellStyle name="20% - Accent1 2 6 2 5" xfId="2846"/>
    <cellStyle name="20% - Accent1 2 6 2 6" xfId="11172"/>
    <cellStyle name="20% - Accent1 2 6 3" xfId="92"/>
    <cellStyle name="20% - Accent1 2 6 3 2" xfId="93"/>
    <cellStyle name="20% - Accent1 2 6 3 2 2" xfId="6174"/>
    <cellStyle name="20% - Accent1 2 6 3 2 2 2" xfId="14456"/>
    <cellStyle name="20% - Accent1 2 6 3 2 3" xfId="8668"/>
    <cellStyle name="20% - Accent1 2 6 3 2 3 2" xfId="16946"/>
    <cellStyle name="20% - Accent1 2 6 3 2 4" xfId="2849"/>
    <cellStyle name="20% - Accent1 2 6 3 2 5" xfId="11175"/>
    <cellStyle name="20% - Accent1 2 6 3 3" xfId="6173"/>
    <cellStyle name="20% - Accent1 2 6 3 3 2" xfId="14455"/>
    <cellStyle name="20% - Accent1 2 6 3 4" xfId="8667"/>
    <cellStyle name="20% - Accent1 2 6 3 4 2" xfId="16945"/>
    <cellStyle name="20% - Accent1 2 6 3 5" xfId="2848"/>
    <cellStyle name="20% - Accent1 2 6 3 6" xfId="11174"/>
    <cellStyle name="20% - Accent1 2 6 4" xfId="94"/>
    <cellStyle name="20% - Accent1 2 6 4 2" xfId="6175"/>
    <cellStyle name="20% - Accent1 2 6 4 2 2" xfId="14457"/>
    <cellStyle name="20% - Accent1 2 6 4 3" xfId="8669"/>
    <cellStyle name="20% - Accent1 2 6 4 3 2" xfId="16947"/>
    <cellStyle name="20% - Accent1 2 6 4 4" xfId="2850"/>
    <cellStyle name="20% - Accent1 2 6 4 5" xfId="11176"/>
    <cellStyle name="20% - Accent1 2 6 5" xfId="95"/>
    <cellStyle name="20% - Accent1 2 6 5 2" xfId="6176"/>
    <cellStyle name="20% - Accent1 2 6 5 2 2" xfId="14458"/>
    <cellStyle name="20% - Accent1 2 6 5 3" xfId="8670"/>
    <cellStyle name="20% - Accent1 2 6 5 3 2" xfId="16948"/>
    <cellStyle name="20% - Accent1 2 6 5 4" xfId="2851"/>
    <cellStyle name="20% - Accent1 2 6 5 5" xfId="11177"/>
    <cellStyle name="20% - Accent1 2 6 6" xfId="2852"/>
    <cellStyle name="20% - Accent1 2 6 6 2" xfId="11178"/>
    <cellStyle name="20% - Accent1 2 6 7" xfId="5941"/>
    <cellStyle name="20% - Accent1 2 6 7 2" xfId="14223"/>
    <cellStyle name="20% - Accent1 2 6 8" xfId="6170"/>
    <cellStyle name="20% - Accent1 2 6 8 2" xfId="14452"/>
    <cellStyle name="20% - Accent1 2 6 9" xfId="8664"/>
    <cellStyle name="20% - Accent1 2 6 9 2" xfId="16942"/>
    <cellStyle name="20% - Accent1 2 7" xfId="96"/>
    <cellStyle name="20% - Accent1 2 7 10" xfId="11179"/>
    <cellStyle name="20% - Accent1 2 7 2" xfId="97"/>
    <cellStyle name="20% - Accent1 2 7 2 2" xfId="98"/>
    <cellStyle name="20% - Accent1 2 7 2 2 2" xfId="6179"/>
    <cellStyle name="20% - Accent1 2 7 2 2 2 2" xfId="14461"/>
    <cellStyle name="20% - Accent1 2 7 2 2 3" xfId="8673"/>
    <cellStyle name="20% - Accent1 2 7 2 2 3 2" xfId="16951"/>
    <cellStyle name="20% - Accent1 2 7 2 2 4" xfId="2855"/>
    <cellStyle name="20% - Accent1 2 7 2 2 5" xfId="11181"/>
    <cellStyle name="20% - Accent1 2 7 2 3" xfId="6178"/>
    <cellStyle name="20% - Accent1 2 7 2 3 2" xfId="14460"/>
    <cellStyle name="20% - Accent1 2 7 2 4" xfId="8672"/>
    <cellStyle name="20% - Accent1 2 7 2 4 2" xfId="16950"/>
    <cellStyle name="20% - Accent1 2 7 2 5" xfId="2854"/>
    <cellStyle name="20% - Accent1 2 7 2 6" xfId="11180"/>
    <cellStyle name="20% - Accent1 2 7 3" xfId="99"/>
    <cellStyle name="20% - Accent1 2 7 3 2" xfId="6180"/>
    <cellStyle name="20% - Accent1 2 7 3 2 2" xfId="14462"/>
    <cellStyle name="20% - Accent1 2 7 3 3" xfId="8674"/>
    <cellStyle name="20% - Accent1 2 7 3 3 2" xfId="16952"/>
    <cellStyle name="20% - Accent1 2 7 3 4" xfId="2856"/>
    <cellStyle name="20% - Accent1 2 7 3 5" xfId="11182"/>
    <cellStyle name="20% - Accent1 2 7 4" xfId="100"/>
    <cellStyle name="20% - Accent1 2 7 4 2" xfId="6181"/>
    <cellStyle name="20% - Accent1 2 7 4 2 2" xfId="14463"/>
    <cellStyle name="20% - Accent1 2 7 4 3" xfId="8675"/>
    <cellStyle name="20% - Accent1 2 7 4 3 2" xfId="16953"/>
    <cellStyle name="20% - Accent1 2 7 4 4" xfId="2857"/>
    <cellStyle name="20% - Accent1 2 7 4 5" xfId="11183"/>
    <cellStyle name="20% - Accent1 2 7 5" xfId="2858"/>
    <cellStyle name="20% - Accent1 2 7 5 2" xfId="11184"/>
    <cellStyle name="20% - Accent1 2 7 6" xfId="5727"/>
    <cellStyle name="20% - Accent1 2 7 6 2" xfId="14013"/>
    <cellStyle name="20% - Accent1 2 7 7" xfId="6177"/>
    <cellStyle name="20% - Accent1 2 7 7 2" xfId="14459"/>
    <cellStyle name="20% - Accent1 2 7 8" xfId="8671"/>
    <cellStyle name="20% - Accent1 2 7 8 2" xfId="16949"/>
    <cellStyle name="20% - Accent1 2 7 9" xfId="2853"/>
    <cellStyle name="20% - Accent1 2 8" xfId="101"/>
    <cellStyle name="20% - Accent1 2 8 2" xfId="102"/>
    <cellStyle name="20% - Accent1 2 8 2 2" xfId="6183"/>
    <cellStyle name="20% - Accent1 2 8 2 2 2" xfId="14465"/>
    <cellStyle name="20% - Accent1 2 8 2 3" xfId="8677"/>
    <cellStyle name="20% - Accent1 2 8 2 3 2" xfId="16955"/>
    <cellStyle name="20% - Accent1 2 8 2 4" xfId="2860"/>
    <cellStyle name="20% - Accent1 2 8 2 5" xfId="11186"/>
    <cellStyle name="20% - Accent1 2 8 3" xfId="6182"/>
    <cellStyle name="20% - Accent1 2 8 3 2" xfId="14464"/>
    <cellStyle name="20% - Accent1 2 8 4" xfId="8676"/>
    <cellStyle name="20% - Accent1 2 8 4 2" xfId="16954"/>
    <cellStyle name="20% - Accent1 2 8 5" xfId="2859"/>
    <cellStyle name="20% - Accent1 2 8 6" xfId="11185"/>
    <cellStyle name="20% - Accent1 2 9" xfId="103"/>
    <cellStyle name="20% - Accent1 2 9 2" xfId="104"/>
    <cellStyle name="20% - Accent1 2 9 2 2" xfId="6185"/>
    <cellStyle name="20% - Accent1 2 9 2 2 2" xfId="14467"/>
    <cellStyle name="20% - Accent1 2 9 2 3" xfId="8679"/>
    <cellStyle name="20% - Accent1 2 9 2 3 2" xfId="16957"/>
    <cellStyle name="20% - Accent1 2 9 2 4" xfId="2862"/>
    <cellStyle name="20% - Accent1 2 9 2 5" xfId="11188"/>
    <cellStyle name="20% - Accent1 2 9 3" xfId="6184"/>
    <cellStyle name="20% - Accent1 2 9 3 2" xfId="14466"/>
    <cellStyle name="20% - Accent1 2 9 4" xfId="8678"/>
    <cellStyle name="20% - Accent1 2 9 4 2" xfId="16956"/>
    <cellStyle name="20% - Accent1 2 9 5" xfId="2861"/>
    <cellStyle name="20% - Accent1 2 9 6" xfId="11187"/>
    <cellStyle name="20% - Accent1 20" xfId="2740"/>
    <cellStyle name="20% - Accent1 21" xfId="11066"/>
    <cellStyle name="20% - Accent1 22" xfId="19347"/>
    <cellStyle name="20% - Accent1 3" xfId="105"/>
    <cellStyle name="20% - Accent1 3 10" xfId="5654"/>
    <cellStyle name="20% - Accent1 3 10 2" xfId="13941"/>
    <cellStyle name="20% - Accent1 3 11" xfId="6186"/>
    <cellStyle name="20% - Accent1 3 11 2" xfId="14468"/>
    <cellStyle name="20% - Accent1 3 12" xfId="8680"/>
    <cellStyle name="20% - Accent1 3 12 2" xfId="16958"/>
    <cellStyle name="20% - Accent1 3 13" xfId="2863"/>
    <cellStyle name="20% - Accent1 3 14" xfId="11189"/>
    <cellStyle name="20% - Accent1 3 2" xfId="106"/>
    <cellStyle name="20% - Accent1 3 2 10" xfId="2864"/>
    <cellStyle name="20% - Accent1 3 2 11" xfId="11190"/>
    <cellStyle name="20% - Accent1 3 2 2" xfId="107"/>
    <cellStyle name="20% - Accent1 3 2 2 2" xfId="108"/>
    <cellStyle name="20% - Accent1 3 2 2 2 2" xfId="6189"/>
    <cellStyle name="20% - Accent1 3 2 2 2 2 2" xfId="14471"/>
    <cellStyle name="20% - Accent1 3 2 2 2 3" xfId="8683"/>
    <cellStyle name="20% - Accent1 3 2 2 2 3 2" xfId="16961"/>
    <cellStyle name="20% - Accent1 3 2 2 2 4" xfId="2866"/>
    <cellStyle name="20% - Accent1 3 2 2 2 5" xfId="11192"/>
    <cellStyle name="20% - Accent1 3 2 2 3" xfId="6188"/>
    <cellStyle name="20% - Accent1 3 2 2 3 2" xfId="14470"/>
    <cellStyle name="20% - Accent1 3 2 2 4" xfId="8682"/>
    <cellStyle name="20% - Accent1 3 2 2 4 2" xfId="16960"/>
    <cellStyle name="20% - Accent1 3 2 2 5" xfId="2865"/>
    <cellStyle name="20% - Accent1 3 2 2 6" xfId="11191"/>
    <cellStyle name="20% - Accent1 3 2 3" xfId="109"/>
    <cellStyle name="20% - Accent1 3 2 3 2" xfId="110"/>
    <cellStyle name="20% - Accent1 3 2 3 2 2" xfId="6191"/>
    <cellStyle name="20% - Accent1 3 2 3 2 2 2" xfId="14473"/>
    <cellStyle name="20% - Accent1 3 2 3 2 3" xfId="8685"/>
    <cellStyle name="20% - Accent1 3 2 3 2 3 2" xfId="16963"/>
    <cellStyle name="20% - Accent1 3 2 3 2 4" xfId="2868"/>
    <cellStyle name="20% - Accent1 3 2 3 2 5" xfId="11194"/>
    <cellStyle name="20% - Accent1 3 2 3 3" xfId="6190"/>
    <cellStyle name="20% - Accent1 3 2 3 3 2" xfId="14472"/>
    <cellStyle name="20% - Accent1 3 2 3 4" xfId="8684"/>
    <cellStyle name="20% - Accent1 3 2 3 4 2" xfId="16962"/>
    <cellStyle name="20% - Accent1 3 2 3 5" xfId="2867"/>
    <cellStyle name="20% - Accent1 3 2 3 6" xfId="11193"/>
    <cellStyle name="20% - Accent1 3 2 4" xfId="111"/>
    <cellStyle name="20% - Accent1 3 2 4 2" xfId="6192"/>
    <cellStyle name="20% - Accent1 3 2 4 2 2" xfId="14474"/>
    <cellStyle name="20% - Accent1 3 2 4 3" xfId="8686"/>
    <cellStyle name="20% - Accent1 3 2 4 3 2" xfId="16964"/>
    <cellStyle name="20% - Accent1 3 2 4 4" xfId="2869"/>
    <cellStyle name="20% - Accent1 3 2 4 5" xfId="11195"/>
    <cellStyle name="20% - Accent1 3 2 5" xfId="112"/>
    <cellStyle name="20% - Accent1 3 2 5 2" xfId="6193"/>
    <cellStyle name="20% - Accent1 3 2 5 2 2" xfId="14475"/>
    <cellStyle name="20% - Accent1 3 2 5 3" xfId="8687"/>
    <cellStyle name="20% - Accent1 3 2 5 3 2" xfId="16965"/>
    <cellStyle name="20% - Accent1 3 2 5 4" xfId="2870"/>
    <cellStyle name="20% - Accent1 3 2 5 5" xfId="11196"/>
    <cellStyle name="20% - Accent1 3 2 6" xfId="2871"/>
    <cellStyle name="20% - Accent1 3 2 6 2" xfId="11197"/>
    <cellStyle name="20% - Accent1 3 2 7" xfId="5857"/>
    <cellStyle name="20% - Accent1 3 2 7 2" xfId="14139"/>
    <cellStyle name="20% - Accent1 3 2 8" xfId="6187"/>
    <cellStyle name="20% - Accent1 3 2 8 2" xfId="14469"/>
    <cellStyle name="20% - Accent1 3 2 9" xfId="8681"/>
    <cellStyle name="20% - Accent1 3 2 9 2" xfId="16959"/>
    <cellStyle name="20% - Accent1 3 3" xfId="113"/>
    <cellStyle name="20% - Accent1 3 3 10" xfId="2872"/>
    <cellStyle name="20% - Accent1 3 3 11" xfId="11198"/>
    <cellStyle name="20% - Accent1 3 3 2" xfId="114"/>
    <cellStyle name="20% - Accent1 3 3 2 2" xfId="115"/>
    <cellStyle name="20% - Accent1 3 3 2 2 2" xfId="6196"/>
    <cellStyle name="20% - Accent1 3 3 2 2 2 2" xfId="14478"/>
    <cellStyle name="20% - Accent1 3 3 2 2 3" xfId="8690"/>
    <cellStyle name="20% - Accent1 3 3 2 2 3 2" xfId="16968"/>
    <cellStyle name="20% - Accent1 3 3 2 2 4" xfId="2874"/>
    <cellStyle name="20% - Accent1 3 3 2 2 5" xfId="11200"/>
    <cellStyle name="20% - Accent1 3 3 2 3" xfId="6195"/>
    <cellStyle name="20% - Accent1 3 3 2 3 2" xfId="14477"/>
    <cellStyle name="20% - Accent1 3 3 2 4" xfId="8689"/>
    <cellStyle name="20% - Accent1 3 3 2 4 2" xfId="16967"/>
    <cellStyle name="20% - Accent1 3 3 2 5" xfId="2873"/>
    <cellStyle name="20% - Accent1 3 3 2 6" xfId="11199"/>
    <cellStyle name="20% - Accent1 3 3 3" xfId="116"/>
    <cellStyle name="20% - Accent1 3 3 3 2" xfId="117"/>
    <cellStyle name="20% - Accent1 3 3 3 2 2" xfId="6198"/>
    <cellStyle name="20% - Accent1 3 3 3 2 2 2" xfId="14480"/>
    <cellStyle name="20% - Accent1 3 3 3 2 3" xfId="8692"/>
    <cellStyle name="20% - Accent1 3 3 3 2 3 2" xfId="16970"/>
    <cellStyle name="20% - Accent1 3 3 3 2 4" xfId="2876"/>
    <cellStyle name="20% - Accent1 3 3 3 2 5" xfId="11202"/>
    <cellStyle name="20% - Accent1 3 3 3 3" xfId="6197"/>
    <cellStyle name="20% - Accent1 3 3 3 3 2" xfId="14479"/>
    <cellStyle name="20% - Accent1 3 3 3 4" xfId="8691"/>
    <cellStyle name="20% - Accent1 3 3 3 4 2" xfId="16969"/>
    <cellStyle name="20% - Accent1 3 3 3 5" xfId="2875"/>
    <cellStyle name="20% - Accent1 3 3 3 6" xfId="11201"/>
    <cellStyle name="20% - Accent1 3 3 4" xfId="118"/>
    <cellStyle name="20% - Accent1 3 3 4 2" xfId="6199"/>
    <cellStyle name="20% - Accent1 3 3 4 2 2" xfId="14481"/>
    <cellStyle name="20% - Accent1 3 3 4 3" xfId="8693"/>
    <cellStyle name="20% - Accent1 3 3 4 3 2" xfId="16971"/>
    <cellStyle name="20% - Accent1 3 3 4 4" xfId="2877"/>
    <cellStyle name="20% - Accent1 3 3 4 5" xfId="11203"/>
    <cellStyle name="20% - Accent1 3 3 5" xfId="119"/>
    <cellStyle name="20% - Accent1 3 3 5 2" xfId="6200"/>
    <cellStyle name="20% - Accent1 3 3 5 2 2" xfId="14482"/>
    <cellStyle name="20% - Accent1 3 3 5 3" xfId="8694"/>
    <cellStyle name="20% - Accent1 3 3 5 3 2" xfId="16972"/>
    <cellStyle name="20% - Accent1 3 3 5 4" xfId="2878"/>
    <cellStyle name="20% - Accent1 3 3 5 5" xfId="11204"/>
    <cellStyle name="20% - Accent1 3 3 6" xfId="2879"/>
    <cellStyle name="20% - Accent1 3 3 6 2" xfId="11205"/>
    <cellStyle name="20% - Accent1 3 3 7" xfId="5955"/>
    <cellStyle name="20% - Accent1 3 3 7 2" xfId="14237"/>
    <cellStyle name="20% - Accent1 3 3 8" xfId="6194"/>
    <cellStyle name="20% - Accent1 3 3 8 2" xfId="14476"/>
    <cellStyle name="20% - Accent1 3 3 9" xfId="8688"/>
    <cellStyle name="20% - Accent1 3 3 9 2" xfId="16966"/>
    <cellStyle name="20% - Accent1 3 4" xfId="120"/>
    <cellStyle name="20% - Accent1 3 4 10" xfId="11206"/>
    <cellStyle name="20% - Accent1 3 4 2" xfId="121"/>
    <cellStyle name="20% - Accent1 3 4 2 2" xfId="122"/>
    <cellStyle name="20% - Accent1 3 4 2 2 2" xfId="6203"/>
    <cellStyle name="20% - Accent1 3 4 2 2 2 2" xfId="14485"/>
    <cellStyle name="20% - Accent1 3 4 2 2 3" xfId="8697"/>
    <cellStyle name="20% - Accent1 3 4 2 2 3 2" xfId="16975"/>
    <cellStyle name="20% - Accent1 3 4 2 2 4" xfId="2882"/>
    <cellStyle name="20% - Accent1 3 4 2 2 5" xfId="11208"/>
    <cellStyle name="20% - Accent1 3 4 2 3" xfId="6202"/>
    <cellStyle name="20% - Accent1 3 4 2 3 2" xfId="14484"/>
    <cellStyle name="20% - Accent1 3 4 2 4" xfId="8696"/>
    <cellStyle name="20% - Accent1 3 4 2 4 2" xfId="16974"/>
    <cellStyle name="20% - Accent1 3 4 2 5" xfId="2881"/>
    <cellStyle name="20% - Accent1 3 4 2 6" xfId="11207"/>
    <cellStyle name="20% - Accent1 3 4 3" xfId="123"/>
    <cellStyle name="20% - Accent1 3 4 3 2" xfId="6204"/>
    <cellStyle name="20% - Accent1 3 4 3 2 2" xfId="14486"/>
    <cellStyle name="20% - Accent1 3 4 3 3" xfId="8698"/>
    <cellStyle name="20% - Accent1 3 4 3 3 2" xfId="16976"/>
    <cellStyle name="20% - Accent1 3 4 3 4" xfId="2883"/>
    <cellStyle name="20% - Accent1 3 4 3 5" xfId="11209"/>
    <cellStyle name="20% - Accent1 3 4 4" xfId="124"/>
    <cellStyle name="20% - Accent1 3 4 4 2" xfId="6205"/>
    <cellStyle name="20% - Accent1 3 4 4 2 2" xfId="14487"/>
    <cellStyle name="20% - Accent1 3 4 4 3" xfId="8699"/>
    <cellStyle name="20% - Accent1 3 4 4 3 2" xfId="16977"/>
    <cellStyle name="20% - Accent1 3 4 4 4" xfId="2884"/>
    <cellStyle name="20% - Accent1 3 4 4 5" xfId="11210"/>
    <cellStyle name="20% - Accent1 3 4 5" xfId="2885"/>
    <cellStyle name="20% - Accent1 3 4 5 2" xfId="11211"/>
    <cellStyle name="20% - Accent1 3 4 6" xfId="5771"/>
    <cellStyle name="20% - Accent1 3 4 6 2" xfId="14053"/>
    <cellStyle name="20% - Accent1 3 4 7" xfId="6201"/>
    <cellStyle name="20% - Accent1 3 4 7 2" xfId="14483"/>
    <cellStyle name="20% - Accent1 3 4 8" xfId="8695"/>
    <cellStyle name="20% - Accent1 3 4 8 2" xfId="16973"/>
    <cellStyle name="20% - Accent1 3 4 9" xfId="2880"/>
    <cellStyle name="20% - Accent1 3 5" xfId="125"/>
    <cellStyle name="20% - Accent1 3 5 2" xfId="126"/>
    <cellStyle name="20% - Accent1 3 5 2 2" xfId="6207"/>
    <cellStyle name="20% - Accent1 3 5 2 2 2" xfId="14489"/>
    <cellStyle name="20% - Accent1 3 5 2 3" xfId="8701"/>
    <cellStyle name="20% - Accent1 3 5 2 3 2" xfId="16979"/>
    <cellStyle name="20% - Accent1 3 5 2 4" xfId="2887"/>
    <cellStyle name="20% - Accent1 3 5 2 5" xfId="11213"/>
    <cellStyle name="20% - Accent1 3 5 3" xfId="6206"/>
    <cellStyle name="20% - Accent1 3 5 3 2" xfId="14488"/>
    <cellStyle name="20% - Accent1 3 5 4" xfId="8700"/>
    <cellStyle name="20% - Accent1 3 5 4 2" xfId="16978"/>
    <cellStyle name="20% - Accent1 3 5 5" xfId="2886"/>
    <cellStyle name="20% - Accent1 3 5 6" xfId="11212"/>
    <cellStyle name="20% - Accent1 3 6" xfId="127"/>
    <cellStyle name="20% - Accent1 3 6 2" xfId="128"/>
    <cellStyle name="20% - Accent1 3 6 2 2" xfId="6209"/>
    <cellStyle name="20% - Accent1 3 6 2 2 2" xfId="14491"/>
    <cellStyle name="20% - Accent1 3 6 2 3" xfId="8703"/>
    <cellStyle name="20% - Accent1 3 6 2 3 2" xfId="16981"/>
    <cellStyle name="20% - Accent1 3 6 2 4" xfId="2889"/>
    <cellStyle name="20% - Accent1 3 6 2 5" xfId="11215"/>
    <cellStyle name="20% - Accent1 3 6 3" xfId="6208"/>
    <cellStyle name="20% - Accent1 3 6 3 2" xfId="14490"/>
    <cellStyle name="20% - Accent1 3 6 4" xfId="8702"/>
    <cellStyle name="20% - Accent1 3 6 4 2" xfId="16980"/>
    <cellStyle name="20% - Accent1 3 6 5" xfId="2888"/>
    <cellStyle name="20% - Accent1 3 6 6" xfId="11214"/>
    <cellStyle name="20% - Accent1 3 7" xfId="129"/>
    <cellStyle name="20% - Accent1 3 7 2" xfId="6210"/>
    <cellStyle name="20% - Accent1 3 7 2 2" xfId="14492"/>
    <cellStyle name="20% - Accent1 3 7 3" xfId="8704"/>
    <cellStyle name="20% - Accent1 3 7 3 2" xfId="16982"/>
    <cellStyle name="20% - Accent1 3 7 4" xfId="2890"/>
    <cellStyle name="20% - Accent1 3 7 5" xfId="11216"/>
    <cellStyle name="20% - Accent1 3 8" xfId="130"/>
    <cellStyle name="20% - Accent1 3 8 2" xfId="6211"/>
    <cellStyle name="20% - Accent1 3 8 2 2" xfId="14493"/>
    <cellStyle name="20% - Accent1 3 8 3" xfId="8705"/>
    <cellStyle name="20% - Accent1 3 8 3 2" xfId="16983"/>
    <cellStyle name="20% - Accent1 3 8 4" xfId="2891"/>
    <cellStyle name="20% - Accent1 3 8 5" xfId="11217"/>
    <cellStyle name="20% - Accent1 3 9" xfId="2892"/>
    <cellStyle name="20% - Accent1 3 9 2" xfId="11218"/>
    <cellStyle name="20% - Accent1 4" xfId="131"/>
    <cellStyle name="20% - Accent1 4 10" xfId="5683"/>
    <cellStyle name="20% - Accent1 4 10 2" xfId="13969"/>
    <cellStyle name="20% - Accent1 4 11" xfId="6212"/>
    <cellStyle name="20% - Accent1 4 11 2" xfId="14494"/>
    <cellStyle name="20% - Accent1 4 12" xfId="8706"/>
    <cellStyle name="20% - Accent1 4 12 2" xfId="16984"/>
    <cellStyle name="20% - Accent1 4 13" xfId="2893"/>
    <cellStyle name="20% - Accent1 4 14" xfId="11219"/>
    <cellStyle name="20% - Accent1 4 2" xfId="132"/>
    <cellStyle name="20% - Accent1 4 2 10" xfId="2894"/>
    <cellStyle name="20% - Accent1 4 2 11" xfId="11220"/>
    <cellStyle name="20% - Accent1 4 2 2" xfId="133"/>
    <cellStyle name="20% - Accent1 4 2 2 2" xfId="134"/>
    <cellStyle name="20% - Accent1 4 2 2 2 2" xfId="6215"/>
    <cellStyle name="20% - Accent1 4 2 2 2 2 2" xfId="14497"/>
    <cellStyle name="20% - Accent1 4 2 2 2 3" xfId="8709"/>
    <cellStyle name="20% - Accent1 4 2 2 2 3 2" xfId="16987"/>
    <cellStyle name="20% - Accent1 4 2 2 2 4" xfId="2896"/>
    <cellStyle name="20% - Accent1 4 2 2 2 5" xfId="11222"/>
    <cellStyle name="20% - Accent1 4 2 2 3" xfId="6214"/>
    <cellStyle name="20% - Accent1 4 2 2 3 2" xfId="14496"/>
    <cellStyle name="20% - Accent1 4 2 2 4" xfId="8708"/>
    <cellStyle name="20% - Accent1 4 2 2 4 2" xfId="16986"/>
    <cellStyle name="20% - Accent1 4 2 2 5" xfId="2895"/>
    <cellStyle name="20% - Accent1 4 2 2 6" xfId="11221"/>
    <cellStyle name="20% - Accent1 4 2 3" xfId="135"/>
    <cellStyle name="20% - Accent1 4 2 3 2" xfId="136"/>
    <cellStyle name="20% - Accent1 4 2 3 2 2" xfId="6217"/>
    <cellStyle name="20% - Accent1 4 2 3 2 2 2" xfId="14499"/>
    <cellStyle name="20% - Accent1 4 2 3 2 3" xfId="8711"/>
    <cellStyle name="20% - Accent1 4 2 3 2 3 2" xfId="16989"/>
    <cellStyle name="20% - Accent1 4 2 3 2 4" xfId="2898"/>
    <cellStyle name="20% - Accent1 4 2 3 2 5" xfId="11224"/>
    <cellStyle name="20% - Accent1 4 2 3 3" xfId="6216"/>
    <cellStyle name="20% - Accent1 4 2 3 3 2" xfId="14498"/>
    <cellStyle name="20% - Accent1 4 2 3 4" xfId="8710"/>
    <cellStyle name="20% - Accent1 4 2 3 4 2" xfId="16988"/>
    <cellStyle name="20% - Accent1 4 2 3 5" xfId="2897"/>
    <cellStyle name="20% - Accent1 4 2 3 6" xfId="11223"/>
    <cellStyle name="20% - Accent1 4 2 4" xfId="137"/>
    <cellStyle name="20% - Accent1 4 2 4 2" xfId="6218"/>
    <cellStyle name="20% - Accent1 4 2 4 2 2" xfId="14500"/>
    <cellStyle name="20% - Accent1 4 2 4 3" xfId="8712"/>
    <cellStyle name="20% - Accent1 4 2 4 3 2" xfId="16990"/>
    <cellStyle name="20% - Accent1 4 2 4 4" xfId="2899"/>
    <cellStyle name="20% - Accent1 4 2 4 5" xfId="11225"/>
    <cellStyle name="20% - Accent1 4 2 5" xfId="138"/>
    <cellStyle name="20% - Accent1 4 2 5 2" xfId="6219"/>
    <cellStyle name="20% - Accent1 4 2 5 2 2" xfId="14501"/>
    <cellStyle name="20% - Accent1 4 2 5 3" xfId="8713"/>
    <cellStyle name="20% - Accent1 4 2 5 3 2" xfId="16991"/>
    <cellStyle name="20% - Accent1 4 2 5 4" xfId="2900"/>
    <cellStyle name="20% - Accent1 4 2 5 5" xfId="11226"/>
    <cellStyle name="20% - Accent1 4 2 6" xfId="2901"/>
    <cellStyle name="20% - Accent1 4 2 6 2" xfId="11227"/>
    <cellStyle name="20% - Accent1 4 2 7" xfId="5885"/>
    <cellStyle name="20% - Accent1 4 2 7 2" xfId="14167"/>
    <cellStyle name="20% - Accent1 4 2 8" xfId="6213"/>
    <cellStyle name="20% - Accent1 4 2 8 2" xfId="14495"/>
    <cellStyle name="20% - Accent1 4 2 9" xfId="8707"/>
    <cellStyle name="20% - Accent1 4 2 9 2" xfId="16985"/>
    <cellStyle name="20% - Accent1 4 3" xfId="139"/>
    <cellStyle name="20% - Accent1 4 3 10" xfId="2902"/>
    <cellStyle name="20% - Accent1 4 3 11" xfId="11228"/>
    <cellStyle name="20% - Accent1 4 3 2" xfId="140"/>
    <cellStyle name="20% - Accent1 4 3 2 2" xfId="141"/>
    <cellStyle name="20% - Accent1 4 3 2 2 2" xfId="6222"/>
    <cellStyle name="20% - Accent1 4 3 2 2 2 2" xfId="14504"/>
    <cellStyle name="20% - Accent1 4 3 2 2 3" xfId="8716"/>
    <cellStyle name="20% - Accent1 4 3 2 2 3 2" xfId="16994"/>
    <cellStyle name="20% - Accent1 4 3 2 2 4" xfId="2904"/>
    <cellStyle name="20% - Accent1 4 3 2 2 5" xfId="11230"/>
    <cellStyle name="20% - Accent1 4 3 2 3" xfId="6221"/>
    <cellStyle name="20% - Accent1 4 3 2 3 2" xfId="14503"/>
    <cellStyle name="20% - Accent1 4 3 2 4" xfId="8715"/>
    <cellStyle name="20% - Accent1 4 3 2 4 2" xfId="16993"/>
    <cellStyle name="20% - Accent1 4 3 2 5" xfId="2903"/>
    <cellStyle name="20% - Accent1 4 3 2 6" xfId="11229"/>
    <cellStyle name="20% - Accent1 4 3 3" xfId="142"/>
    <cellStyle name="20% - Accent1 4 3 3 2" xfId="143"/>
    <cellStyle name="20% - Accent1 4 3 3 2 2" xfId="6224"/>
    <cellStyle name="20% - Accent1 4 3 3 2 2 2" xfId="14506"/>
    <cellStyle name="20% - Accent1 4 3 3 2 3" xfId="8718"/>
    <cellStyle name="20% - Accent1 4 3 3 2 3 2" xfId="16996"/>
    <cellStyle name="20% - Accent1 4 3 3 2 4" xfId="2906"/>
    <cellStyle name="20% - Accent1 4 3 3 2 5" xfId="11232"/>
    <cellStyle name="20% - Accent1 4 3 3 3" xfId="6223"/>
    <cellStyle name="20% - Accent1 4 3 3 3 2" xfId="14505"/>
    <cellStyle name="20% - Accent1 4 3 3 4" xfId="8717"/>
    <cellStyle name="20% - Accent1 4 3 3 4 2" xfId="16995"/>
    <cellStyle name="20% - Accent1 4 3 3 5" xfId="2905"/>
    <cellStyle name="20% - Accent1 4 3 3 6" xfId="11231"/>
    <cellStyle name="20% - Accent1 4 3 4" xfId="144"/>
    <cellStyle name="20% - Accent1 4 3 4 2" xfId="6225"/>
    <cellStyle name="20% - Accent1 4 3 4 2 2" xfId="14507"/>
    <cellStyle name="20% - Accent1 4 3 4 3" xfId="8719"/>
    <cellStyle name="20% - Accent1 4 3 4 3 2" xfId="16997"/>
    <cellStyle name="20% - Accent1 4 3 4 4" xfId="2907"/>
    <cellStyle name="20% - Accent1 4 3 4 5" xfId="11233"/>
    <cellStyle name="20% - Accent1 4 3 5" xfId="145"/>
    <cellStyle name="20% - Accent1 4 3 5 2" xfId="6226"/>
    <cellStyle name="20% - Accent1 4 3 5 2 2" xfId="14508"/>
    <cellStyle name="20% - Accent1 4 3 5 3" xfId="8720"/>
    <cellStyle name="20% - Accent1 4 3 5 3 2" xfId="16998"/>
    <cellStyle name="20% - Accent1 4 3 5 4" xfId="2908"/>
    <cellStyle name="20% - Accent1 4 3 5 5" xfId="11234"/>
    <cellStyle name="20% - Accent1 4 3 6" xfId="2909"/>
    <cellStyle name="20% - Accent1 4 3 6 2" xfId="11235"/>
    <cellStyle name="20% - Accent1 4 3 7" xfId="5983"/>
    <cellStyle name="20% - Accent1 4 3 7 2" xfId="14265"/>
    <cellStyle name="20% - Accent1 4 3 8" xfId="6220"/>
    <cellStyle name="20% - Accent1 4 3 8 2" xfId="14502"/>
    <cellStyle name="20% - Accent1 4 3 9" xfId="8714"/>
    <cellStyle name="20% - Accent1 4 3 9 2" xfId="16992"/>
    <cellStyle name="20% - Accent1 4 4" xfId="146"/>
    <cellStyle name="20% - Accent1 4 4 10" xfId="11236"/>
    <cellStyle name="20% - Accent1 4 4 2" xfId="147"/>
    <cellStyle name="20% - Accent1 4 4 2 2" xfId="148"/>
    <cellStyle name="20% - Accent1 4 4 2 2 2" xfId="6229"/>
    <cellStyle name="20% - Accent1 4 4 2 2 2 2" xfId="14511"/>
    <cellStyle name="20% - Accent1 4 4 2 2 3" xfId="8723"/>
    <cellStyle name="20% - Accent1 4 4 2 2 3 2" xfId="17001"/>
    <cellStyle name="20% - Accent1 4 4 2 2 4" xfId="2912"/>
    <cellStyle name="20% - Accent1 4 4 2 2 5" xfId="11238"/>
    <cellStyle name="20% - Accent1 4 4 2 3" xfId="6228"/>
    <cellStyle name="20% - Accent1 4 4 2 3 2" xfId="14510"/>
    <cellStyle name="20% - Accent1 4 4 2 4" xfId="8722"/>
    <cellStyle name="20% - Accent1 4 4 2 4 2" xfId="17000"/>
    <cellStyle name="20% - Accent1 4 4 2 5" xfId="2911"/>
    <cellStyle name="20% - Accent1 4 4 2 6" xfId="11237"/>
    <cellStyle name="20% - Accent1 4 4 3" xfId="149"/>
    <cellStyle name="20% - Accent1 4 4 3 2" xfId="6230"/>
    <cellStyle name="20% - Accent1 4 4 3 2 2" xfId="14512"/>
    <cellStyle name="20% - Accent1 4 4 3 3" xfId="8724"/>
    <cellStyle name="20% - Accent1 4 4 3 3 2" xfId="17002"/>
    <cellStyle name="20% - Accent1 4 4 3 4" xfId="2913"/>
    <cellStyle name="20% - Accent1 4 4 3 5" xfId="11239"/>
    <cellStyle name="20% - Accent1 4 4 4" xfId="150"/>
    <cellStyle name="20% - Accent1 4 4 4 2" xfId="6231"/>
    <cellStyle name="20% - Accent1 4 4 4 2 2" xfId="14513"/>
    <cellStyle name="20% - Accent1 4 4 4 3" xfId="8725"/>
    <cellStyle name="20% - Accent1 4 4 4 3 2" xfId="17003"/>
    <cellStyle name="20% - Accent1 4 4 4 4" xfId="2914"/>
    <cellStyle name="20% - Accent1 4 4 4 5" xfId="11240"/>
    <cellStyle name="20% - Accent1 4 4 5" xfId="2915"/>
    <cellStyle name="20% - Accent1 4 4 5 2" xfId="11241"/>
    <cellStyle name="20% - Accent1 4 4 6" xfId="5799"/>
    <cellStyle name="20% - Accent1 4 4 6 2" xfId="14081"/>
    <cellStyle name="20% - Accent1 4 4 7" xfId="6227"/>
    <cellStyle name="20% - Accent1 4 4 7 2" xfId="14509"/>
    <cellStyle name="20% - Accent1 4 4 8" xfId="8721"/>
    <cellStyle name="20% - Accent1 4 4 8 2" xfId="16999"/>
    <cellStyle name="20% - Accent1 4 4 9" xfId="2910"/>
    <cellStyle name="20% - Accent1 4 5" xfId="151"/>
    <cellStyle name="20% - Accent1 4 5 2" xfId="152"/>
    <cellStyle name="20% - Accent1 4 5 2 2" xfId="6233"/>
    <cellStyle name="20% - Accent1 4 5 2 2 2" xfId="14515"/>
    <cellStyle name="20% - Accent1 4 5 2 3" xfId="8727"/>
    <cellStyle name="20% - Accent1 4 5 2 3 2" xfId="17005"/>
    <cellStyle name="20% - Accent1 4 5 2 4" xfId="2917"/>
    <cellStyle name="20% - Accent1 4 5 2 5" xfId="11243"/>
    <cellStyle name="20% - Accent1 4 5 3" xfId="6232"/>
    <cellStyle name="20% - Accent1 4 5 3 2" xfId="14514"/>
    <cellStyle name="20% - Accent1 4 5 4" xfId="8726"/>
    <cellStyle name="20% - Accent1 4 5 4 2" xfId="17004"/>
    <cellStyle name="20% - Accent1 4 5 5" xfId="2916"/>
    <cellStyle name="20% - Accent1 4 5 6" xfId="11242"/>
    <cellStyle name="20% - Accent1 4 6" xfId="153"/>
    <cellStyle name="20% - Accent1 4 6 2" xfId="154"/>
    <cellStyle name="20% - Accent1 4 6 2 2" xfId="6235"/>
    <cellStyle name="20% - Accent1 4 6 2 2 2" xfId="14517"/>
    <cellStyle name="20% - Accent1 4 6 2 3" xfId="8729"/>
    <cellStyle name="20% - Accent1 4 6 2 3 2" xfId="17007"/>
    <cellStyle name="20% - Accent1 4 6 2 4" xfId="2919"/>
    <cellStyle name="20% - Accent1 4 6 2 5" xfId="11245"/>
    <cellStyle name="20% - Accent1 4 6 3" xfId="6234"/>
    <cellStyle name="20% - Accent1 4 6 3 2" xfId="14516"/>
    <cellStyle name="20% - Accent1 4 6 4" xfId="8728"/>
    <cellStyle name="20% - Accent1 4 6 4 2" xfId="17006"/>
    <cellStyle name="20% - Accent1 4 6 5" xfId="2918"/>
    <cellStyle name="20% - Accent1 4 6 6" xfId="11244"/>
    <cellStyle name="20% - Accent1 4 7" xfId="155"/>
    <cellStyle name="20% - Accent1 4 7 2" xfId="6236"/>
    <cellStyle name="20% - Accent1 4 7 2 2" xfId="14518"/>
    <cellStyle name="20% - Accent1 4 7 3" xfId="8730"/>
    <cellStyle name="20% - Accent1 4 7 3 2" xfId="17008"/>
    <cellStyle name="20% - Accent1 4 7 4" xfId="2920"/>
    <cellStyle name="20% - Accent1 4 7 5" xfId="11246"/>
    <cellStyle name="20% - Accent1 4 8" xfId="156"/>
    <cellStyle name="20% - Accent1 4 8 2" xfId="6237"/>
    <cellStyle name="20% - Accent1 4 8 2 2" xfId="14519"/>
    <cellStyle name="20% - Accent1 4 8 3" xfId="8731"/>
    <cellStyle name="20% - Accent1 4 8 3 2" xfId="17009"/>
    <cellStyle name="20% - Accent1 4 8 4" xfId="2921"/>
    <cellStyle name="20% - Accent1 4 8 5" xfId="11247"/>
    <cellStyle name="20% - Accent1 4 9" xfId="2922"/>
    <cellStyle name="20% - Accent1 4 9 2" xfId="11248"/>
    <cellStyle name="20% - Accent1 5" xfId="157"/>
    <cellStyle name="20% - Accent1 5 10" xfId="2923"/>
    <cellStyle name="20% - Accent1 5 11" xfId="11249"/>
    <cellStyle name="20% - Accent1 5 2" xfId="158"/>
    <cellStyle name="20% - Accent1 5 2 2" xfId="159"/>
    <cellStyle name="20% - Accent1 5 2 2 2" xfId="6240"/>
    <cellStyle name="20% - Accent1 5 2 2 2 2" xfId="14522"/>
    <cellStyle name="20% - Accent1 5 2 2 3" xfId="8734"/>
    <cellStyle name="20% - Accent1 5 2 2 3 2" xfId="17012"/>
    <cellStyle name="20% - Accent1 5 2 2 4" xfId="2925"/>
    <cellStyle name="20% - Accent1 5 2 2 5" xfId="11251"/>
    <cellStyle name="20% - Accent1 5 2 3" xfId="6239"/>
    <cellStyle name="20% - Accent1 5 2 3 2" xfId="14521"/>
    <cellStyle name="20% - Accent1 5 2 4" xfId="8733"/>
    <cellStyle name="20% - Accent1 5 2 4 2" xfId="17011"/>
    <cellStyle name="20% - Accent1 5 2 5" xfId="2924"/>
    <cellStyle name="20% - Accent1 5 2 6" xfId="11250"/>
    <cellStyle name="20% - Accent1 5 3" xfId="160"/>
    <cellStyle name="20% - Accent1 5 3 2" xfId="161"/>
    <cellStyle name="20% - Accent1 5 3 2 2" xfId="6242"/>
    <cellStyle name="20% - Accent1 5 3 2 2 2" xfId="14524"/>
    <cellStyle name="20% - Accent1 5 3 2 3" xfId="8736"/>
    <cellStyle name="20% - Accent1 5 3 2 3 2" xfId="17014"/>
    <cellStyle name="20% - Accent1 5 3 2 4" xfId="2927"/>
    <cellStyle name="20% - Accent1 5 3 2 5" xfId="11253"/>
    <cellStyle name="20% - Accent1 5 3 3" xfId="6241"/>
    <cellStyle name="20% - Accent1 5 3 3 2" xfId="14523"/>
    <cellStyle name="20% - Accent1 5 3 4" xfId="8735"/>
    <cellStyle name="20% - Accent1 5 3 4 2" xfId="17013"/>
    <cellStyle name="20% - Accent1 5 3 5" xfId="2926"/>
    <cellStyle name="20% - Accent1 5 3 6" xfId="11252"/>
    <cellStyle name="20% - Accent1 5 4" xfId="162"/>
    <cellStyle name="20% - Accent1 5 4 2" xfId="6243"/>
    <cellStyle name="20% - Accent1 5 4 2 2" xfId="14525"/>
    <cellStyle name="20% - Accent1 5 4 3" xfId="8737"/>
    <cellStyle name="20% - Accent1 5 4 3 2" xfId="17015"/>
    <cellStyle name="20% - Accent1 5 4 4" xfId="2928"/>
    <cellStyle name="20% - Accent1 5 4 5" xfId="11254"/>
    <cellStyle name="20% - Accent1 5 5" xfId="163"/>
    <cellStyle name="20% - Accent1 5 5 2" xfId="6244"/>
    <cellStyle name="20% - Accent1 5 5 2 2" xfId="14526"/>
    <cellStyle name="20% - Accent1 5 5 3" xfId="8738"/>
    <cellStyle name="20% - Accent1 5 5 3 2" xfId="17016"/>
    <cellStyle name="20% - Accent1 5 5 4" xfId="2929"/>
    <cellStyle name="20% - Accent1 5 5 5" xfId="11255"/>
    <cellStyle name="20% - Accent1 5 6" xfId="2930"/>
    <cellStyle name="20% - Accent1 5 6 2" xfId="11256"/>
    <cellStyle name="20% - Accent1 5 7" xfId="5740"/>
    <cellStyle name="20% - Accent1 5 7 2" xfId="14025"/>
    <cellStyle name="20% - Accent1 5 8" xfId="6238"/>
    <cellStyle name="20% - Accent1 5 8 2" xfId="14520"/>
    <cellStyle name="20% - Accent1 5 9" xfId="8732"/>
    <cellStyle name="20% - Accent1 5 9 2" xfId="17010"/>
    <cellStyle name="20% - Accent1 6" xfId="164"/>
    <cellStyle name="20% - Accent1 6 10" xfId="2931"/>
    <cellStyle name="20% - Accent1 6 11" xfId="11257"/>
    <cellStyle name="20% - Accent1 6 2" xfId="165"/>
    <cellStyle name="20% - Accent1 6 2 2" xfId="166"/>
    <cellStyle name="20% - Accent1 6 2 2 2" xfId="6247"/>
    <cellStyle name="20% - Accent1 6 2 2 2 2" xfId="14529"/>
    <cellStyle name="20% - Accent1 6 2 2 3" xfId="8741"/>
    <cellStyle name="20% - Accent1 6 2 2 3 2" xfId="17019"/>
    <cellStyle name="20% - Accent1 6 2 2 4" xfId="2933"/>
    <cellStyle name="20% - Accent1 6 2 2 5" xfId="11259"/>
    <cellStyle name="20% - Accent1 6 2 3" xfId="6246"/>
    <cellStyle name="20% - Accent1 6 2 3 2" xfId="14528"/>
    <cellStyle name="20% - Accent1 6 2 4" xfId="8740"/>
    <cellStyle name="20% - Accent1 6 2 4 2" xfId="17018"/>
    <cellStyle name="20% - Accent1 6 2 5" xfId="2932"/>
    <cellStyle name="20% - Accent1 6 2 6" xfId="11258"/>
    <cellStyle name="20% - Accent1 6 3" xfId="167"/>
    <cellStyle name="20% - Accent1 6 3 2" xfId="168"/>
    <cellStyle name="20% - Accent1 6 3 2 2" xfId="6249"/>
    <cellStyle name="20% - Accent1 6 3 2 2 2" xfId="14531"/>
    <cellStyle name="20% - Accent1 6 3 2 3" xfId="8743"/>
    <cellStyle name="20% - Accent1 6 3 2 3 2" xfId="17021"/>
    <cellStyle name="20% - Accent1 6 3 2 4" xfId="2935"/>
    <cellStyle name="20% - Accent1 6 3 2 5" xfId="11261"/>
    <cellStyle name="20% - Accent1 6 3 3" xfId="6248"/>
    <cellStyle name="20% - Accent1 6 3 3 2" xfId="14530"/>
    <cellStyle name="20% - Accent1 6 3 4" xfId="8742"/>
    <cellStyle name="20% - Accent1 6 3 4 2" xfId="17020"/>
    <cellStyle name="20% - Accent1 6 3 5" xfId="2934"/>
    <cellStyle name="20% - Accent1 6 3 6" xfId="11260"/>
    <cellStyle name="20% - Accent1 6 4" xfId="169"/>
    <cellStyle name="20% - Accent1 6 4 2" xfId="6250"/>
    <cellStyle name="20% - Accent1 6 4 2 2" xfId="14532"/>
    <cellStyle name="20% - Accent1 6 4 3" xfId="8744"/>
    <cellStyle name="20% - Accent1 6 4 3 2" xfId="17022"/>
    <cellStyle name="20% - Accent1 6 4 4" xfId="2936"/>
    <cellStyle name="20% - Accent1 6 4 5" xfId="11262"/>
    <cellStyle name="20% - Accent1 6 5" xfId="170"/>
    <cellStyle name="20% - Accent1 6 5 2" xfId="6251"/>
    <cellStyle name="20% - Accent1 6 5 2 2" xfId="14533"/>
    <cellStyle name="20% - Accent1 6 5 3" xfId="8745"/>
    <cellStyle name="20% - Accent1 6 5 3 2" xfId="17023"/>
    <cellStyle name="20% - Accent1 6 5 4" xfId="2937"/>
    <cellStyle name="20% - Accent1 6 5 5" xfId="11263"/>
    <cellStyle name="20% - Accent1 6 6" xfId="2938"/>
    <cellStyle name="20% - Accent1 6 6 2" xfId="11264"/>
    <cellStyle name="20% - Accent1 6 7" xfId="5829"/>
    <cellStyle name="20% - Accent1 6 7 2" xfId="14111"/>
    <cellStyle name="20% - Accent1 6 8" xfId="6245"/>
    <cellStyle name="20% - Accent1 6 8 2" xfId="14527"/>
    <cellStyle name="20% - Accent1 6 9" xfId="8739"/>
    <cellStyle name="20% - Accent1 6 9 2" xfId="17017"/>
    <cellStyle name="20% - Accent1 7" xfId="171"/>
    <cellStyle name="20% - Accent1 7 10" xfId="2939"/>
    <cellStyle name="20% - Accent1 7 11" xfId="11265"/>
    <cellStyle name="20% - Accent1 7 2" xfId="172"/>
    <cellStyle name="20% - Accent1 7 2 2" xfId="173"/>
    <cellStyle name="20% - Accent1 7 2 2 2" xfId="6254"/>
    <cellStyle name="20% - Accent1 7 2 2 2 2" xfId="14536"/>
    <cellStyle name="20% - Accent1 7 2 2 3" xfId="8748"/>
    <cellStyle name="20% - Accent1 7 2 2 3 2" xfId="17026"/>
    <cellStyle name="20% - Accent1 7 2 2 4" xfId="2941"/>
    <cellStyle name="20% - Accent1 7 2 2 5" xfId="11267"/>
    <cellStyle name="20% - Accent1 7 2 3" xfId="6253"/>
    <cellStyle name="20% - Accent1 7 2 3 2" xfId="14535"/>
    <cellStyle name="20% - Accent1 7 2 4" xfId="8747"/>
    <cellStyle name="20% - Accent1 7 2 4 2" xfId="17025"/>
    <cellStyle name="20% - Accent1 7 2 5" xfId="2940"/>
    <cellStyle name="20% - Accent1 7 2 6" xfId="11266"/>
    <cellStyle name="20% - Accent1 7 3" xfId="174"/>
    <cellStyle name="20% - Accent1 7 3 2" xfId="175"/>
    <cellStyle name="20% - Accent1 7 3 2 2" xfId="6256"/>
    <cellStyle name="20% - Accent1 7 3 2 2 2" xfId="14538"/>
    <cellStyle name="20% - Accent1 7 3 2 3" xfId="8750"/>
    <cellStyle name="20% - Accent1 7 3 2 3 2" xfId="17028"/>
    <cellStyle name="20% - Accent1 7 3 2 4" xfId="2943"/>
    <cellStyle name="20% - Accent1 7 3 2 5" xfId="11269"/>
    <cellStyle name="20% - Accent1 7 3 3" xfId="6255"/>
    <cellStyle name="20% - Accent1 7 3 3 2" xfId="14537"/>
    <cellStyle name="20% - Accent1 7 3 4" xfId="8749"/>
    <cellStyle name="20% - Accent1 7 3 4 2" xfId="17027"/>
    <cellStyle name="20% - Accent1 7 3 5" xfId="2942"/>
    <cellStyle name="20% - Accent1 7 3 6" xfId="11268"/>
    <cellStyle name="20% - Accent1 7 4" xfId="176"/>
    <cellStyle name="20% - Accent1 7 4 2" xfId="6257"/>
    <cellStyle name="20% - Accent1 7 4 2 2" xfId="14539"/>
    <cellStyle name="20% - Accent1 7 4 3" xfId="8751"/>
    <cellStyle name="20% - Accent1 7 4 3 2" xfId="17029"/>
    <cellStyle name="20% - Accent1 7 4 4" xfId="2944"/>
    <cellStyle name="20% - Accent1 7 4 5" xfId="11270"/>
    <cellStyle name="20% - Accent1 7 5" xfId="177"/>
    <cellStyle name="20% - Accent1 7 5 2" xfId="6258"/>
    <cellStyle name="20% - Accent1 7 5 2 2" xfId="14540"/>
    <cellStyle name="20% - Accent1 7 5 3" xfId="8752"/>
    <cellStyle name="20% - Accent1 7 5 3 2" xfId="17030"/>
    <cellStyle name="20% - Accent1 7 5 4" xfId="2945"/>
    <cellStyle name="20% - Accent1 7 5 5" xfId="11271"/>
    <cellStyle name="20% - Accent1 7 6" xfId="2946"/>
    <cellStyle name="20% - Accent1 7 6 2" xfId="11272"/>
    <cellStyle name="20% - Accent1 7 7" xfId="5915"/>
    <cellStyle name="20% - Accent1 7 7 2" xfId="14197"/>
    <cellStyle name="20% - Accent1 7 8" xfId="6252"/>
    <cellStyle name="20% - Accent1 7 8 2" xfId="14534"/>
    <cellStyle name="20% - Accent1 7 9" xfId="8746"/>
    <cellStyle name="20% - Accent1 7 9 2" xfId="17024"/>
    <cellStyle name="20% - Accent1 8" xfId="178"/>
    <cellStyle name="20% - Accent1 8 10" xfId="2947"/>
    <cellStyle name="20% - Accent1 8 11" xfId="11273"/>
    <cellStyle name="20% - Accent1 8 2" xfId="179"/>
    <cellStyle name="20% - Accent1 8 2 2" xfId="180"/>
    <cellStyle name="20% - Accent1 8 2 2 2" xfId="6261"/>
    <cellStyle name="20% - Accent1 8 2 2 2 2" xfId="14543"/>
    <cellStyle name="20% - Accent1 8 2 2 3" xfId="8755"/>
    <cellStyle name="20% - Accent1 8 2 2 3 2" xfId="17033"/>
    <cellStyle name="20% - Accent1 8 2 2 4" xfId="2949"/>
    <cellStyle name="20% - Accent1 8 2 2 5" xfId="11275"/>
    <cellStyle name="20% - Accent1 8 2 3" xfId="6260"/>
    <cellStyle name="20% - Accent1 8 2 3 2" xfId="14542"/>
    <cellStyle name="20% - Accent1 8 2 4" xfId="8754"/>
    <cellStyle name="20% - Accent1 8 2 4 2" xfId="17032"/>
    <cellStyle name="20% - Accent1 8 2 5" xfId="2948"/>
    <cellStyle name="20% - Accent1 8 2 6" xfId="11274"/>
    <cellStyle name="20% - Accent1 8 3" xfId="181"/>
    <cellStyle name="20% - Accent1 8 3 2" xfId="182"/>
    <cellStyle name="20% - Accent1 8 3 2 2" xfId="6263"/>
    <cellStyle name="20% - Accent1 8 3 2 2 2" xfId="14545"/>
    <cellStyle name="20% - Accent1 8 3 2 3" xfId="8757"/>
    <cellStyle name="20% - Accent1 8 3 2 3 2" xfId="17035"/>
    <cellStyle name="20% - Accent1 8 3 2 4" xfId="2951"/>
    <cellStyle name="20% - Accent1 8 3 2 5" xfId="11277"/>
    <cellStyle name="20% - Accent1 8 3 3" xfId="6262"/>
    <cellStyle name="20% - Accent1 8 3 3 2" xfId="14544"/>
    <cellStyle name="20% - Accent1 8 3 4" xfId="8756"/>
    <cellStyle name="20% - Accent1 8 3 4 2" xfId="17034"/>
    <cellStyle name="20% - Accent1 8 3 5" xfId="2950"/>
    <cellStyle name="20% - Accent1 8 3 6" xfId="11276"/>
    <cellStyle name="20% - Accent1 8 4" xfId="183"/>
    <cellStyle name="20% - Accent1 8 4 2" xfId="6264"/>
    <cellStyle name="20% - Accent1 8 4 2 2" xfId="14546"/>
    <cellStyle name="20% - Accent1 8 4 3" xfId="8758"/>
    <cellStyle name="20% - Accent1 8 4 3 2" xfId="17036"/>
    <cellStyle name="20% - Accent1 8 4 4" xfId="2952"/>
    <cellStyle name="20% - Accent1 8 4 5" xfId="11278"/>
    <cellStyle name="20% - Accent1 8 5" xfId="184"/>
    <cellStyle name="20% - Accent1 8 5 2" xfId="6265"/>
    <cellStyle name="20% - Accent1 8 5 2 2" xfId="14547"/>
    <cellStyle name="20% - Accent1 8 5 3" xfId="8759"/>
    <cellStyle name="20% - Accent1 8 5 3 2" xfId="17037"/>
    <cellStyle name="20% - Accent1 8 5 4" xfId="2953"/>
    <cellStyle name="20% - Accent1 8 5 5" xfId="11279"/>
    <cellStyle name="20% - Accent1 8 6" xfId="2954"/>
    <cellStyle name="20% - Accent1 8 6 2" xfId="11280"/>
    <cellStyle name="20% - Accent1 8 7" xfId="5927"/>
    <cellStyle name="20% - Accent1 8 7 2" xfId="14209"/>
    <cellStyle name="20% - Accent1 8 8" xfId="6259"/>
    <cellStyle name="20% - Accent1 8 8 2" xfId="14541"/>
    <cellStyle name="20% - Accent1 8 9" xfId="8753"/>
    <cellStyle name="20% - Accent1 8 9 2" xfId="17031"/>
    <cellStyle name="20% - Accent1 9" xfId="185"/>
    <cellStyle name="20% - Accent1 9 10" xfId="2955"/>
    <cellStyle name="20% - Accent1 9 11" xfId="11281"/>
    <cellStyle name="20% - Accent1 9 2" xfId="186"/>
    <cellStyle name="20% - Accent1 9 2 2" xfId="187"/>
    <cellStyle name="20% - Accent1 9 2 2 2" xfId="6268"/>
    <cellStyle name="20% - Accent1 9 2 2 2 2" xfId="14550"/>
    <cellStyle name="20% - Accent1 9 2 2 3" xfId="8762"/>
    <cellStyle name="20% - Accent1 9 2 2 3 2" xfId="17040"/>
    <cellStyle name="20% - Accent1 9 2 2 4" xfId="2957"/>
    <cellStyle name="20% - Accent1 9 2 2 5" xfId="11283"/>
    <cellStyle name="20% - Accent1 9 2 3" xfId="6267"/>
    <cellStyle name="20% - Accent1 9 2 3 2" xfId="14549"/>
    <cellStyle name="20% - Accent1 9 2 4" xfId="8761"/>
    <cellStyle name="20% - Accent1 9 2 4 2" xfId="17039"/>
    <cellStyle name="20% - Accent1 9 2 5" xfId="2956"/>
    <cellStyle name="20% - Accent1 9 2 6" xfId="11282"/>
    <cellStyle name="20% - Accent1 9 3" xfId="188"/>
    <cellStyle name="20% - Accent1 9 3 2" xfId="189"/>
    <cellStyle name="20% - Accent1 9 3 2 2" xfId="6270"/>
    <cellStyle name="20% - Accent1 9 3 2 2 2" xfId="14552"/>
    <cellStyle name="20% - Accent1 9 3 2 3" xfId="8764"/>
    <cellStyle name="20% - Accent1 9 3 2 3 2" xfId="17042"/>
    <cellStyle name="20% - Accent1 9 3 2 4" xfId="2959"/>
    <cellStyle name="20% - Accent1 9 3 2 5" xfId="11285"/>
    <cellStyle name="20% - Accent1 9 3 3" xfId="6269"/>
    <cellStyle name="20% - Accent1 9 3 3 2" xfId="14551"/>
    <cellStyle name="20% - Accent1 9 3 4" xfId="8763"/>
    <cellStyle name="20% - Accent1 9 3 4 2" xfId="17041"/>
    <cellStyle name="20% - Accent1 9 3 5" xfId="2958"/>
    <cellStyle name="20% - Accent1 9 3 6" xfId="11284"/>
    <cellStyle name="20% - Accent1 9 4" xfId="190"/>
    <cellStyle name="20% - Accent1 9 4 2" xfId="6271"/>
    <cellStyle name="20% - Accent1 9 4 2 2" xfId="14553"/>
    <cellStyle name="20% - Accent1 9 4 3" xfId="8765"/>
    <cellStyle name="20% - Accent1 9 4 3 2" xfId="17043"/>
    <cellStyle name="20% - Accent1 9 4 4" xfId="2960"/>
    <cellStyle name="20% - Accent1 9 4 5" xfId="11286"/>
    <cellStyle name="20% - Accent1 9 5" xfId="191"/>
    <cellStyle name="20% - Accent1 9 5 2" xfId="6272"/>
    <cellStyle name="20% - Accent1 9 5 2 2" xfId="14554"/>
    <cellStyle name="20% - Accent1 9 5 3" xfId="8766"/>
    <cellStyle name="20% - Accent1 9 5 3 2" xfId="17044"/>
    <cellStyle name="20% - Accent1 9 5 4" xfId="2961"/>
    <cellStyle name="20% - Accent1 9 5 5" xfId="11287"/>
    <cellStyle name="20% - Accent1 9 6" xfId="2962"/>
    <cellStyle name="20% - Accent1 9 6 2" xfId="11288"/>
    <cellStyle name="20% - Accent1 9 7" xfId="6013"/>
    <cellStyle name="20% - Accent1 9 7 2" xfId="14295"/>
    <cellStyle name="20% - Accent1 9 8" xfId="6266"/>
    <cellStyle name="20% - Accent1 9 8 2" xfId="14548"/>
    <cellStyle name="20% - Accent1 9 9" xfId="8760"/>
    <cellStyle name="20% - Accent1 9 9 2" xfId="17038"/>
    <cellStyle name="20% - Accent2" xfId="192" builtinId="34" customBuiltin="1"/>
    <cellStyle name="20% - Accent2 10" xfId="193"/>
    <cellStyle name="20% - Accent2 10 10" xfId="2964"/>
    <cellStyle name="20% - Accent2 10 11" xfId="11290"/>
    <cellStyle name="20% - Accent2 10 2" xfId="194"/>
    <cellStyle name="20% - Accent2 10 2 2" xfId="195"/>
    <cellStyle name="20% - Accent2 10 2 2 2" xfId="6276"/>
    <cellStyle name="20% - Accent2 10 2 2 2 2" xfId="14558"/>
    <cellStyle name="20% - Accent2 10 2 2 3" xfId="8770"/>
    <cellStyle name="20% - Accent2 10 2 2 3 2" xfId="17048"/>
    <cellStyle name="20% - Accent2 10 2 2 4" xfId="2966"/>
    <cellStyle name="20% - Accent2 10 2 2 5" xfId="11292"/>
    <cellStyle name="20% - Accent2 10 2 3" xfId="6275"/>
    <cellStyle name="20% - Accent2 10 2 3 2" xfId="14557"/>
    <cellStyle name="20% - Accent2 10 2 4" xfId="8769"/>
    <cellStyle name="20% - Accent2 10 2 4 2" xfId="17047"/>
    <cellStyle name="20% - Accent2 10 2 5" xfId="2965"/>
    <cellStyle name="20% - Accent2 10 2 6" xfId="11291"/>
    <cellStyle name="20% - Accent2 10 3" xfId="196"/>
    <cellStyle name="20% - Accent2 10 3 2" xfId="197"/>
    <cellStyle name="20% - Accent2 10 3 2 2" xfId="6278"/>
    <cellStyle name="20% - Accent2 10 3 2 2 2" xfId="14560"/>
    <cellStyle name="20% - Accent2 10 3 2 3" xfId="8772"/>
    <cellStyle name="20% - Accent2 10 3 2 3 2" xfId="17050"/>
    <cellStyle name="20% - Accent2 10 3 2 4" xfId="2968"/>
    <cellStyle name="20% - Accent2 10 3 2 5" xfId="11294"/>
    <cellStyle name="20% - Accent2 10 3 3" xfId="6277"/>
    <cellStyle name="20% - Accent2 10 3 3 2" xfId="14559"/>
    <cellStyle name="20% - Accent2 10 3 4" xfId="8771"/>
    <cellStyle name="20% - Accent2 10 3 4 2" xfId="17049"/>
    <cellStyle name="20% - Accent2 10 3 5" xfId="2967"/>
    <cellStyle name="20% - Accent2 10 3 6" xfId="11293"/>
    <cellStyle name="20% - Accent2 10 4" xfId="198"/>
    <cellStyle name="20% - Accent2 10 4 2" xfId="6279"/>
    <cellStyle name="20% - Accent2 10 4 2 2" xfId="14561"/>
    <cellStyle name="20% - Accent2 10 4 3" xfId="8773"/>
    <cellStyle name="20% - Accent2 10 4 3 2" xfId="17051"/>
    <cellStyle name="20% - Accent2 10 4 4" xfId="2969"/>
    <cellStyle name="20% - Accent2 10 4 5" xfId="11295"/>
    <cellStyle name="20% - Accent2 10 5" xfId="199"/>
    <cellStyle name="20% - Accent2 10 5 2" xfId="6280"/>
    <cellStyle name="20% - Accent2 10 5 2 2" xfId="14562"/>
    <cellStyle name="20% - Accent2 10 5 3" xfId="8774"/>
    <cellStyle name="20% - Accent2 10 5 3 2" xfId="17052"/>
    <cellStyle name="20% - Accent2 10 5 4" xfId="2970"/>
    <cellStyle name="20% - Accent2 10 5 5" xfId="11296"/>
    <cellStyle name="20% - Accent2 10 6" xfId="2971"/>
    <cellStyle name="20% - Accent2 10 6 2" xfId="11297"/>
    <cellStyle name="20% - Accent2 10 7" xfId="6029"/>
    <cellStyle name="20% - Accent2 10 7 2" xfId="14311"/>
    <cellStyle name="20% - Accent2 10 8" xfId="6274"/>
    <cellStyle name="20% - Accent2 10 8 2" xfId="14556"/>
    <cellStyle name="20% - Accent2 10 9" xfId="8768"/>
    <cellStyle name="20% - Accent2 10 9 2" xfId="17046"/>
    <cellStyle name="20% - Accent2 11" xfId="200"/>
    <cellStyle name="20% - Accent2 11 10" xfId="11298"/>
    <cellStyle name="20% - Accent2 11 2" xfId="201"/>
    <cellStyle name="20% - Accent2 11 2 2" xfId="202"/>
    <cellStyle name="20% - Accent2 11 2 2 2" xfId="6283"/>
    <cellStyle name="20% - Accent2 11 2 2 2 2" xfId="14565"/>
    <cellStyle name="20% - Accent2 11 2 2 3" xfId="8777"/>
    <cellStyle name="20% - Accent2 11 2 2 3 2" xfId="17055"/>
    <cellStyle name="20% - Accent2 11 2 2 4" xfId="2974"/>
    <cellStyle name="20% - Accent2 11 2 2 5" xfId="11300"/>
    <cellStyle name="20% - Accent2 11 2 3" xfId="6282"/>
    <cellStyle name="20% - Accent2 11 2 3 2" xfId="14564"/>
    <cellStyle name="20% - Accent2 11 2 4" xfId="8776"/>
    <cellStyle name="20% - Accent2 11 2 4 2" xfId="17054"/>
    <cellStyle name="20% - Accent2 11 2 5" xfId="2973"/>
    <cellStyle name="20% - Accent2 11 2 6" xfId="11299"/>
    <cellStyle name="20% - Accent2 11 3" xfId="203"/>
    <cellStyle name="20% - Accent2 11 3 2" xfId="6284"/>
    <cellStyle name="20% - Accent2 11 3 2 2" xfId="14566"/>
    <cellStyle name="20% - Accent2 11 3 3" xfId="8778"/>
    <cellStyle name="20% - Accent2 11 3 3 2" xfId="17056"/>
    <cellStyle name="20% - Accent2 11 3 4" xfId="2975"/>
    <cellStyle name="20% - Accent2 11 3 5" xfId="11301"/>
    <cellStyle name="20% - Accent2 11 4" xfId="204"/>
    <cellStyle name="20% - Accent2 11 4 2" xfId="6285"/>
    <cellStyle name="20% - Accent2 11 4 2 2" xfId="14567"/>
    <cellStyle name="20% - Accent2 11 4 3" xfId="8779"/>
    <cellStyle name="20% - Accent2 11 4 3 2" xfId="17057"/>
    <cellStyle name="20% - Accent2 11 4 4" xfId="2976"/>
    <cellStyle name="20% - Accent2 11 4 5" xfId="11302"/>
    <cellStyle name="20% - Accent2 11 5" xfId="2977"/>
    <cellStyle name="20% - Accent2 11 5 2" xfId="11303"/>
    <cellStyle name="20% - Accent2 11 6" xfId="5712"/>
    <cellStyle name="20% - Accent2 11 6 2" xfId="13998"/>
    <cellStyle name="20% - Accent2 11 7" xfId="6281"/>
    <cellStyle name="20% - Accent2 11 7 2" xfId="14563"/>
    <cellStyle name="20% - Accent2 11 8" xfId="8775"/>
    <cellStyle name="20% - Accent2 11 8 2" xfId="17053"/>
    <cellStyle name="20% - Accent2 11 9" xfId="2972"/>
    <cellStyle name="20% - Accent2 12" xfId="205"/>
    <cellStyle name="20% - Accent2 12 2" xfId="206"/>
    <cellStyle name="20% - Accent2 12 2 2" xfId="6287"/>
    <cellStyle name="20% - Accent2 12 2 2 2" xfId="14569"/>
    <cellStyle name="20% - Accent2 12 2 3" xfId="8781"/>
    <cellStyle name="20% - Accent2 12 2 3 2" xfId="17059"/>
    <cellStyle name="20% - Accent2 12 2 4" xfId="2979"/>
    <cellStyle name="20% - Accent2 12 2 5" xfId="11305"/>
    <cellStyle name="20% - Accent2 12 3" xfId="2980"/>
    <cellStyle name="20% - Accent2 12 3 2" xfId="11306"/>
    <cellStyle name="20% - Accent2 12 4" xfId="6044"/>
    <cellStyle name="20% - Accent2 12 4 2" xfId="14326"/>
    <cellStyle name="20% - Accent2 12 5" xfId="6286"/>
    <cellStyle name="20% - Accent2 12 5 2" xfId="14568"/>
    <cellStyle name="20% - Accent2 12 6" xfId="8780"/>
    <cellStyle name="20% - Accent2 12 6 2" xfId="17058"/>
    <cellStyle name="20% - Accent2 12 7" xfId="2978"/>
    <cellStyle name="20% - Accent2 12 8" xfId="11304"/>
    <cellStyle name="20% - Accent2 13" xfId="207"/>
    <cellStyle name="20% - Accent2 13 2" xfId="208"/>
    <cellStyle name="20% - Accent2 13 2 2" xfId="6289"/>
    <cellStyle name="20% - Accent2 13 2 2 2" xfId="14571"/>
    <cellStyle name="20% - Accent2 13 2 3" xfId="8783"/>
    <cellStyle name="20% - Accent2 13 2 3 2" xfId="17061"/>
    <cellStyle name="20% - Accent2 13 2 4" xfId="2982"/>
    <cellStyle name="20% - Accent2 13 2 5" xfId="11308"/>
    <cellStyle name="20% - Accent2 13 3" xfId="2983"/>
    <cellStyle name="20% - Accent2 13 3 2" xfId="11309"/>
    <cellStyle name="20% - Accent2 13 4" xfId="6058"/>
    <cellStyle name="20% - Accent2 13 4 2" xfId="14340"/>
    <cellStyle name="20% - Accent2 13 5" xfId="6288"/>
    <cellStyle name="20% - Accent2 13 5 2" xfId="14570"/>
    <cellStyle name="20% - Accent2 13 6" xfId="8782"/>
    <cellStyle name="20% - Accent2 13 6 2" xfId="17060"/>
    <cellStyle name="20% - Accent2 13 7" xfId="2981"/>
    <cellStyle name="20% - Accent2 13 8" xfId="11307"/>
    <cellStyle name="20% - Accent2 14" xfId="209"/>
    <cellStyle name="20% - Accent2 14 2" xfId="2985"/>
    <cellStyle name="20% - Accent2 14 2 2" xfId="11311"/>
    <cellStyle name="20% - Accent2 14 3" xfId="6072"/>
    <cellStyle name="20% - Accent2 14 3 2" xfId="14354"/>
    <cellStyle name="20% - Accent2 14 4" xfId="6290"/>
    <cellStyle name="20% - Accent2 14 4 2" xfId="14572"/>
    <cellStyle name="20% - Accent2 14 5" xfId="8784"/>
    <cellStyle name="20% - Accent2 14 5 2" xfId="17062"/>
    <cellStyle name="20% - Accent2 14 6" xfId="2984"/>
    <cellStyle name="20% - Accent2 14 7" xfId="11310"/>
    <cellStyle name="20% - Accent2 15" xfId="210"/>
    <cellStyle name="20% - Accent2 15 2" xfId="6291"/>
    <cellStyle name="20% - Accent2 15 2 2" xfId="14573"/>
    <cellStyle name="20% - Accent2 15 3" xfId="8785"/>
    <cellStyle name="20% - Accent2 15 3 2" xfId="17063"/>
    <cellStyle name="20% - Accent2 15 4" xfId="2986"/>
    <cellStyle name="20% - Accent2 15 5" xfId="11312"/>
    <cellStyle name="20% - Accent2 16" xfId="2987"/>
    <cellStyle name="20% - Accent2 16 2" xfId="11313"/>
    <cellStyle name="20% - Accent2 17" xfId="5625"/>
    <cellStyle name="20% - Accent2 17 2" xfId="13915"/>
    <cellStyle name="20% - Accent2 18" xfId="6273"/>
    <cellStyle name="20% - Accent2 18 2" xfId="14555"/>
    <cellStyle name="20% - Accent2 19" xfId="8767"/>
    <cellStyle name="20% - Accent2 19 2" xfId="17045"/>
    <cellStyle name="20% - Accent2 2" xfId="211"/>
    <cellStyle name="20% - Accent2 2 10" xfId="212"/>
    <cellStyle name="20% - Accent2 2 10 2" xfId="6293"/>
    <cellStyle name="20% - Accent2 2 10 2 2" xfId="14575"/>
    <cellStyle name="20% - Accent2 2 10 3" xfId="8787"/>
    <cellStyle name="20% - Accent2 2 10 3 2" xfId="17065"/>
    <cellStyle name="20% - Accent2 2 10 4" xfId="2989"/>
    <cellStyle name="20% - Accent2 2 10 5" xfId="11315"/>
    <cellStyle name="20% - Accent2 2 11" xfId="213"/>
    <cellStyle name="20% - Accent2 2 11 2" xfId="6294"/>
    <cellStyle name="20% - Accent2 2 11 2 2" xfId="14576"/>
    <cellStyle name="20% - Accent2 2 11 3" xfId="8788"/>
    <cellStyle name="20% - Accent2 2 11 3 2" xfId="17066"/>
    <cellStyle name="20% - Accent2 2 11 4" xfId="2990"/>
    <cellStyle name="20% - Accent2 2 11 5" xfId="11316"/>
    <cellStyle name="20% - Accent2 2 12" xfId="2991"/>
    <cellStyle name="20% - Accent2 2 12 2" xfId="11317"/>
    <cellStyle name="20% - Accent2 2 13" xfId="5639"/>
    <cellStyle name="20% - Accent2 2 13 2" xfId="13928"/>
    <cellStyle name="20% - Accent2 2 14" xfId="6292"/>
    <cellStyle name="20% - Accent2 2 14 2" xfId="14574"/>
    <cellStyle name="20% - Accent2 2 15" xfId="8786"/>
    <cellStyle name="20% - Accent2 2 15 2" xfId="17064"/>
    <cellStyle name="20% - Accent2 2 16" xfId="2988"/>
    <cellStyle name="20% - Accent2 2 17" xfId="11314"/>
    <cellStyle name="20% - Accent2 2 2" xfId="214"/>
    <cellStyle name="20% - Accent2 2 2 10" xfId="5673"/>
    <cellStyle name="20% - Accent2 2 2 10 2" xfId="13959"/>
    <cellStyle name="20% - Accent2 2 2 11" xfId="6295"/>
    <cellStyle name="20% - Accent2 2 2 11 2" xfId="14577"/>
    <cellStyle name="20% - Accent2 2 2 12" xfId="8789"/>
    <cellStyle name="20% - Accent2 2 2 12 2" xfId="17067"/>
    <cellStyle name="20% - Accent2 2 2 13" xfId="2992"/>
    <cellStyle name="20% - Accent2 2 2 14" xfId="11318"/>
    <cellStyle name="20% - Accent2 2 2 2" xfId="215"/>
    <cellStyle name="20% - Accent2 2 2 2 10" xfId="2993"/>
    <cellStyle name="20% - Accent2 2 2 2 11" xfId="11319"/>
    <cellStyle name="20% - Accent2 2 2 2 2" xfId="216"/>
    <cellStyle name="20% - Accent2 2 2 2 2 2" xfId="217"/>
    <cellStyle name="20% - Accent2 2 2 2 2 2 2" xfId="6298"/>
    <cellStyle name="20% - Accent2 2 2 2 2 2 2 2" xfId="14580"/>
    <cellStyle name="20% - Accent2 2 2 2 2 2 3" xfId="8792"/>
    <cellStyle name="20% - Accent2 2 2 2 2 2 3 2" xfId="17070"/>
    <cellStyle name="20% - Accent2 2 2 2 2 2 4" xfId="2995"/>
    <cellStyle name="20% - Accent2 2 2 2 2 2 5" xfId="11321"/>
    <cellStyle name="20% - Accent2 2 2 2 2 3" xfId="6297"/>
    <cellStyle name="20% - Accent2 2 2 2 2 3 2" xfId="14579"/>
    <cellStyle name="20% - Accent2 2 2 2 2 4" xfId="8791"/>
    <cellStyle name="20% - Accent2 2 2 2 2 4 2" xfId="17069"/>
    <cellStyle name="20% - Accent2 2 2 2 2 5" xfId="2994"/>
    <cellStyle name="20% - Accent2 2 2 2 2 6" xfId="11320"/>
    <cellStyle name="20% - Accent2 2 2 2 3" xfId="218"/>
    <cellStyle name="20% - Accent2 2 2 2 3 2" xfId="219"/>
    <cellStyle name="20% - Accent2 2 2 2 3 2 2" xfId="6300"/>
    <cellStyle name="20% - Accent2 2 2 2 3 2 2 2" xfId="14582"/>
    <cellStyle name="20% - Accent2 2 2 2 3 2 3" xfId="8794"/>
    <cellStyle name="20% - Accent2 2 2 2 3 2 3 2" xfId="17072"/>
    <cellStyle name="20% - Accent2 2 2 2 3 2 4" xfId="2997"/>
    <cellStyle name="20% - Accent2 2 2 2 3 2 5" xfId="11323"/>
    <cellStyle name="20% - Accent2 2 2 2 3 3" xfId="6299"/>
    <cellStyle name="20% - Accent2 2 2 2 3 3 2" xfId="14581"/>
    <cellStyle name="20% - Accent2 2 2 2 3 4" xfId="8793"/>
    <cellStyle name="20% - Accent2 2 2 2 3 4 2" xfId="17071"/>
    <cellStyle name="20% - Accent2 2 2 2 3 5" xfId="2996"/>
    <cellStyle name="20% - Accent2 2 2 2 3 6" xfId="11322"/>
    <cellStyle name="20% - Accent2 2 2 2 4" xfId="220"/>
    <cellStyle name="20% - Accent2 2 2 2 4 2" xfId="6301"/>
    <cellStyle name="20% - Accent2 2 2 2 4 2 2" xfId="14583"/>
    <cellStyle name="20% - Accent2 2 2 2 4 3" xfId="8795"/>
    <cellStyle name="20% - Accent2 2 2 2 4 3 2" xfId="17073"/>
    <cellStyle name="20% - Accent2 2 2 2 4 4" xfId="2998"/>
    <cellStyle name="20% - Accent2 2 2 2 4 5" xfId="11324"/>
    <cellStyle name="20% - Accent2 2 2 2 5" xfId="221"/>
    <cellStyle name="20% - Accent2 2 2 2 5 2" xfId="6302"/>
    <cellStyle name="20% - Accent2 2 2 2 5 2 2" xfId="14584"/>
    <cellStyle name="20% - Accent2 2 2 2 5 3" xfId="8796"/>
    <cellStyle name="20% - Accent2 2 2 2 5 3 2" xfId="17074"/>
    <cellStyle name="20% - Accent2 2 2 2 5 4" xfId="2999"/>
    <cellStyle name="20% - Accent2 2 2 2 5 5" xfId="11325"/>
    <cellStyle name="20% - Accent2 2 2 2 6" xfId="3000"/>
    <cellStyle name="20% - Accent2 2 2 2 6 2" xfId="11326"/>
    <cellStyle name="20% - Accent2 2 2 2 7" xfId="5875"/>
    <cellStyle name="20% - Accent2 2 2 2 7 2" xfId="14157"/>
    <cellStyle name="20% - Accent2 2 2 2 8" xfId="6296"/>
    <cellStyle name="20% - Accent2 2 2 2 8 2" xfId="14578"/>
    <cellStyle name="20% - Accent2 2 2 2 9" xfId="8790"/>
    <cellStyle name="20% - Accent2 2 2 2 9 2" xfId="17068"/>
    <cellStyle name="20% - Accent2 2 2 3" xfId="222"/>
    <cellStyle name="20% - Accent2 2 2 3 10" xfId="3001"/>
    <cellStyle name="20% - Accent2 2 2 3 11" xfId="11327"/>
    <cellStyle name="20% - Accent2 2 2 3 2" xfId="223"/>
    <cellStyle name="20% - Accent2 2 2 3 2 2" xfId="224"/>
    <cellStyle name="20% - Accent2 2 2 3 2 2 2" xfId="6305"/>
    <cellStyle name="20% - Accent2 2 2 3 2 2 2 2" xfId="14587"/>
    <cellStyle name="20% - Accent2 2 2 3 2 2 3" xfId="8799"/>
    <cellStyle name="20% - Accent2 2 2 3 2 2 3 2" xfId="17077"/>
    <cellStyle name="20% - Accent2 2 2 3 2 2 4" xfId="3003"/>
    <cellStyle name="20% - Accent2 2 2 3 2 2 5" xfId="11329"/>
    <cellStyle name="20% - Accent2 2 2 3 2 3" xfId="6304"/>
    <cellStyle name="20% - Accent2 2 2 3 2 3 2" xfId="14586"/>
    <cellStyle name="20% - Accent2 2 2 3 2 4" xfId="8798"/>
    <cellStyle name="20% - Accent2 2 2 3 2 4 2" xfId="17076"/>
    <cellStyle name="20% - Accent2 2 2 3 2 5" xfId="3002"/>
    <cellStyle name="20% - Accent2 2 2 3 2 6" xfId="11328"/>
    <cellStyle name="20% - Accent2 2 2 3 3" xfId="225"/>
    <cellStyle name="20% - Accent2 2 2 3 3 2" xfId="226"/>
    <cellStyle name="20% - Accent2 2 2 3 3 2 2" xfId="6307"/>
    <cellStyle name="20% - Accent2 2 2 3 3 2 2 2" xfId="14589"/>
    <cellStyle name="20% - Accent2 2 2 3 3 2 3" xfId="8801"/>
    <cellStyle name="20% - Accent2 2 2 3 3 2 3 2" xfId="17079"/>
    <cellStyle name="20% - Accent2 2 2 3 3 2 4" xfId="3005"/>
    <cellStyle name="20% - Accent2 2 2 3 3 2 5" xfId="11331"/>
    <cellStyle name="20% - Accent2 2 2 3 3 3" xfId="6306"/>
    <cellStyle name="20% - Accent2 2 2 3 3 3 2" xfId="14588"/>
    <cellStyle name="20% - Accent2 2 2 3 3 4" xfId="8800"/>
    <cellStyle name="20% - Accent2 2 2 3 3 4 2" xfId="17078"/>
    <cellStyle name="20% - Accent2 2 2 3 3 5" xfId="3004"/>
    <cellStyle name="20% - Accent2 2 2 3 3 6" xfId="11330"/>
    <cellStyle name="20% - Accent2 2 2 3 4" xfId="227"/>
    <cellStyle name="20% - Accent2 2 2 3 4 2" xfId="6308"/>
    <cellStyle name="20% - Accent2 2 2 3 4 2 2" xfId="14590"/>
    <cellStyle name="20% - Accent2 2 2 3 4 3" xfId="8802"/>
    <cellStyle name="20% - Accent2 2 2 3 4 3 2" xfId="17080"/>
    <cellStyle name="20% - Accent2 2 2 3 4 4" xfId="3006"/>
    <cellStyle name="20% - Accent2 2 2 3 4 5" xfId="11332"/>
    <cellStyle name="20% - Accent2 2 2 3 5" xfId="228"/>
    <cellStyle name="20% - Accent2 2 2 3 5 2" xfId="6309"/>
    <cellStyle name="20% - Accent2 2 2 3 5 2 2" xfId="14591"/>
    <cellStyle name="20% - Accent2 2 2 3 5 3" xfId="8803"/>
    <cellStyle name="20% - Accent2 2 2 3 5 3 2" xfId="17081"/>
    <cellStyle name="20% - Accent2 2 2 3 5 4" xfId="3007"/>
    <cellStyle name="20% - Accent2 2 2 3 5 5" xfId="11333"/>
    <cellStyle name="20% - Accent2 2 2 3 6" xfId="3008"/>
    <cellStyle name="20% - Accent2 2 2 3 6 2" xfId="11334"/>
    <cellStyle name="20% - Accent2 2 2 3 7" xfId="5973"/>
    <cellStyle name="20% - Accent2 2 2 3 7 2" xfId="14255"/>
    <cellStyle name="20% - Accent2 2 2 3 8" xfId="6303"/>
    <cellStyle name="20% - Accent2 2 2 3 8 2" xfId="14585"/>
    <cellStyle name="20% - Accent2 2 2 3 9" xfId="8797"/>
    <cellStyle name="20% - Accent2 2 2 3 9 2" xfId="17075"/>
    <cellStyle name="20% - Accent2 2 2 4" xfId="229"/>
    <cellStyle name="20% - Accent2 2 2 4 10" xfId="11335"/>
    <cellStyle name="20% - Accent2 2 2 4 2" xfId="230"/>
    <cellStyle name="20% - Accent2 2 2 4 2 2" xfId="231"/>
    <cellStyle name="20% - Accent2 2 2 4 2 2 2" xfId="6312"/>
    <cellStyle name="20% - Accent2 2 2 4 2 2 2 2" xfId="14594"/>
    <cellStyle name="20% - Accent2 2 2 4 2 2 3" xfId="8806"/>
    <cellStyle name="20% - Accent2 2 2 4 2 2 3 2" xfId="17084"/>
    <cellStyle name="20% - Accent2 2 2 4 2 2 4" xfId="3011"/>
    <cellStyle name="20% - Accent2 2 2 4 2 2 5" xfId="11337"/>
    <cellStyle name="20% - Accent2 2 2 4 2 3" xfId="6311"/>
    <cellStyle name="20% - Accent2 2 2 4 2 3 2" xfId="14593"/>
    <cellStyle name="20% - Accent2 2 2 4 2 4" xfId="8805"/>
    <cellStyle name="20% - Accent2 2 2 4 2 4 2" xfId="17083"/>
    <cellStyle name="20% - Accent2 2 2 4 2 5" xfId="3010"/>
    <cellStyle name="20% - Accent2 2 2 4 2 6" xfId="11336"/>
    <cellStyle name="20% - Accent2 2 2 4 3" xfId="232"/>
    <cellStyle name="20% - Accent2 2 2 4 3 2" xfId="6313"/>
    <cellStyle name="20% - Accent2 2 2 4 3 2 2" xfId="14595"/>
    <cellStyle name="20% - Accent2 2 2 4 3 3" xfId="8807"/>
    <cellStyle name="20% - Accent2 2 2 4 3 3 2" xfId="17085"/>
    <cellStyle name="20% - Accent2 2 2 4 3 4" xfId="3012"/>
    <cellStyle name="20% - Accent2 2 2 4 3 5" xfId="11338"/>
    <cellStyle name="20% - Accent2 2 2 4 4" xfId="233"/>
    <cellStyle name="20% - Accent2 2 2 4 4 2" xfId="6314"/>
    <cellStyle name="20% - Accent2 2 2 4 4 2 2" xfId="14596"/>
    <cellStyle name="20% - Accent2 2 2 4 4 3" xfId="8808"/>
    <cellStyle name="20% - Accent2 2 2 4 4 3 2" xfId="17086"/>
    <cellStyle name="20% - Accent2 2 2 4 4 4" xfId="3013"/>
    <cellStyle name="20% - Accent2 2 2 4 4 5" xfId="11339"/>
    <cellStyle name="20% - Accent2 2 2 4 5" xfId="3014"/>
    <cellStyle name="20% - Accent2 2 2 4 5 2" xfId="11340"/>
    <cellStyle name="20% - Accent2 2 2 4 6" xfId="5789"/>
    <cellStyle name="20% - Accent2 2 2 4 6 2" xfId="14071"/>
    <cellStyle name="20% - Accent2 2 2 4 7" xfId="6310"/>
    <cellStyle name="20% - Accent2 2 2 4 7 2" xfId="14592"/>
    <cellStyle name="20% - Accent2 2 2 4 8" xfId="8804"/>
    <cellStyle name="20% - Accent2 2 2 4 8 2" xfId="17082"/>
    <cellStyle name="20% - Accent2 2 2 4 9" xfId="3009"/>
    <cellStyle name="20% - Accent2 2 2 5" xfId="234"/>
    <cellStyle name="20% - Accent2 2 2 5 2" xfId="235"/>
    <cellStyle name="20% - Accent2 2 2 5 2 2" xfId="6316"/>
    <cellStyle name="20% - Accent2 2 2 5 2 2 2" xfId="14598"/>
    <cellStyle name="20% - Accent2 2 2 5 2 3" xfId="8810"/>
    <cellStyle name="20% - Accent2 2 2 5 2 3 2" xfId="17088"/>
    <cellStyle name="20% - Accent2 2 2 5 2 4" xfId="3016"/>
    <cellStyle name="20% - Accent2 2 2 5 2 5" xfId="11342"/>
    <cellStyle name="20% - Accent2 2 2 5 3" xfId="6315"/>
    <cellStyle name="20% - Accent2 2 2 5 3 2" xfId="14597"/>
    <cellStyle name="20% - Accent2 2 2 5 4" xfId="8809"/>
    <cellStyle name="20% - Accent2 2 2 5 4 2" xfId="17087"/>
    <cellStyle name="20% - Accent2 2 2 5 5" xfId="3015"/>
    <cellStyle name="20% - Accent2 2 2 5 6" xfId="11341"/>
    <cellStyle name="20% - Accent2 2 2 6" xfId="236"/>
    <cellStyle name="20% - Accent2 2 2 6 2" xfId="237"/>
    <cellStyle name="20% - Accent2 2 2 6 2 2" xfId="6318"/>
    <cellStyle name="20% - Accent2 2 2 6 2 2 2" xfId="14600"/>
    <cellStyle name="20% - Accent2 2 2 6 2 3" xfId="8812"/>
    <cellStyle name="20% - Accent2 2 2 6 2 3 2" xfId="17090"/>
    <cellStyle name="20% - Accent2 2 2 6 2 4" xfId="3018"/>
    <cellStyle name="20% - Accent2 2 2 6 2 5" xfId="11344"/>
    <cellStyle name="20% - Accent2 2 2 6 3" xfId="6317"/>
    <cellStyle name="20% - Accent2 2 2 6 3 2" xfId="14599"/>
    <cellStyle name="20% - Accent2 2 2 6 4" xfId="8811"/>
    <cellStyle name="20% - Accent2 2 2 6 4 2" xfId="17089"/>
    <cellStyle name="20% - Accent2 2 2 6 5" xfId="3017"/>
    <cellStyle name="20% - Accent2 2 2 6 6" xfId="11343"/>
    <cellStyle name="20% - Accent2 2 2 7" xfId="238"/>
    <cellStyle name="20% - Accent2 2 2 7 2" xfId="6319"/>
    <cellStyle name="20% - Accent2 2 2 7 2 2" xfId="14601"/>
    <cellStyle name="20% - Accent2 2 2 7 3" xfId="8813"/>
    <cellStyle name="20% - Accent2 2 2 7 3 2" xfId="17091"/>
    <cellStyle name="20% - Accent2 2 2 7 4" xfId="3019"/>
    <cellStyle name="20% - Accent2 2 2 7 5" xfId="11345"/>
    <cellStyle name="20% - Accent2 2 2 8" xfId="239"/>
    <cellStyle name="20% - Accent2 2 2 8 2" xfId="6320"/>
    <cellStyle name="20% - Accent2 2 2 8 2 2" xfId="14602"/>
    <cellStyle name="20% - Accent2 2 2 8 3" xfId="8814"/>
    <cellStyle name="20% - Accent2 2 2 8 3 2" xfId="17092"/>
    <cellStyle name="20% - Accent2 2 2 8 4" xfId="3020"/>
    <cellStyle name="20% - Accent2 2 2 8 5" xfId="11346"/>
    <cellStyle name="20% - Accent2 2 2 9" xfId="3021"/>
    <cellStyle name="20% - Accent2 2 2 9 2" xfId="11347"/>
    <cellStyle name="20% - Accent2 2 3" xfId="240"/>
    <cellStyle name="20% - Accent2 2 3 10" xfId="5701"/>
    <cellStyle name="20% - Accent2 2 3 10 2" xfId="13987"/>
    <cellStyle name="20% - Accent2 2 3 11" xfId="6321"/>
    <cellStyle name="20% - Accent2 2 3 11 2" xfId="14603"/>
    <cellStyle name="20% - Accent2 2 3 12" xfId="8815"/>
    <cellStyle name="20% - Accent2 2 3 12 2" xfId="17093"/>
    <cellStyle name="20% - Accent2 2 3 13" xfId="3022"/>
    <cellStyle name="20% - Accent2 2 3 14" xfId="11348"/>
    <cellStyle name="20% - Accent2 2 3 2" xfId="241"/>
    <cellStyle name="20% - Accent2 2 3 2 10" xfId="3023"/>
    <cellStyle name="20% - Accent2 2 3 2 11" xfId="11349"/>
    <cellStyle name="20% - Accent2 2 3 2 2" xfId="242"/>
    <cellStyle name="20% - Accent2 2 3 2 2 2" xfId="243"/>
    <cellStyle name="20% - Accent2 2 3 2 2 2 2" xfId="6324"/>
    <cellStyle name="20% - Accent2 2 3 2 2 2 2 2" xfId="14606"/>
    <cellStyle name="20% - Accent2 2 3 2 2 2 3" xfId="8818"/>
    <cellStyle name="20% - Accent2 2 3 2 2 2 3 2" xfId="17096"/>
    <cellStyle name="20% - Accent2 2 3 2 2 2 4" xfId="3025"/>
    <cellStyle name="20% - Accent2 2 3 2 2 2 5" xfId="11351"/>
    <cellStyle name="20% - Accent2 2 3 2 2 3" xfId="6323"/>
    <cellStyle name="20% - Accent2 2 3 2 2 3 2" xfId="14605"/>
    <cellStyle name="20% - Accent2 2 3 2 2 4" xfId="8817"/>
    <cellStyle name="20% - Accent2 2 3 2 2 4 2" xfId="17095"/>
    <cellStyle name="20% - Accent2 2 3 2 2 5" xfId="3024"/>
    <cellStyle name="20% - Accent2 2 3 2 2 6" xfId="11350"/>
    <cellStyle name="20% - Accent2 2 3 2 3" xfId="244"/>
    <cellStyle name="20% - Accent2 2 3 2 3 2" xfId="245"/>
    <cellStyle name="20% - Accent2 2 3 2 3 2 2" xfId="6326"/>
    <cellStyle name="20% - Accent2 2 3 2 3 2 2 2" xfId="14608"/>
    <cellStyle name="20% - Accent2 2 3 2 3 2 3" xfId="8820"/>
    <cellStyle name="20% - Accent2 2 3 2 3 2 3 2" xfId="17098"/>
    <cellStyle name="20% - Accent2 2 3 2 3 2 4" xfId="3027"/>
    <cellStyle name="20% - Accent2 2 3 2 3 2 5" xfId="11353"/>
    <cellStyle name="20% - Accent2 2 3 2 3 3" xfId="6325"/>
    <cellStyle name="20% - Accent2 2 3 2 3 3 2" xfId="14607"/>
    <cellStyle name="20% - Accent2 2 3 2 3 4" xfId="8819"/>
    <cellStyle name="20% - Accent2 2 3 2 3 4 2" xfId="17097"/>
    <cellStyle name="20% - Accent2 2 3 2 3 5" xfId="3026"/>
    <cellStyle name="20% - Accent2 2 3 2 3 6" xfId="11352"/>
    <cellStyle name="20% - Accent2 2 3 2 4" xfId="246"/>
    <cellStyle name="20% - Accent2 2 3 2 4 2" xfId="6327"/>
    <cellStyle name="20% - Accent2 2 3 2 4 2 2" xfId="14609"/>
    <cellStyle name="20% - Accent2 2 3 2 4 3" xfId="8821"/>
    <cellStyle name="20% - Accent2 2 3 2 4 3 2" xfId="17099"/>
    <cellStyle name="20% - Accent2 2 3 2 4 4" xfId="3028"/>
    <cellStyle name="20% - Accent2 2 3 2 4 5" xfId="11354"/>
    <cellStyle name="20% - Accent2 2 3 2 5" xfId="247"/>
    <cellStyle name="20% - Accent2 2 3 2 5 2" xfId="6328"/>
    <cellStyle name="20% - Accent2 2 3 2 5 2 2" xfId="14610"/>
    <cellStyle name="20% - Accent2 2 3 2 5 3" xfId="8822"/>
    <cellStyle name="20% - Accent2 2 3 2 5 3 2" xfId="17100"/>
    <cellStyle name="20% - Accent2 2 3 2 5 4" xfId="3029"/>
    <cellStyle name="20% - Accent2 2 3 2 5 5" xfId="11355"/>
    <cellStyle name="20% - Accent2 2 3 2 6" xfId="3030"/>
    <cellStyle name="20% - Accent2 2 3 2 6 2" xfId="11356"/>
    <cellStyle name="20% - Accent2 2 3 2 7" xfId="5903"/>
    <cellStyle name="20% - Accent2 2 3 2 7 2" xfId="14185"/>
    <cellStyle name="20% - Accent2 2 3 2 8" xfId="6322"/>
    <cellStyle name="20% - Accent2 2 3 2 8 2" xfId="14604"/>
    <cellStyle name="20% - Accent2 2 3 2 9" xfId="8816"/>
    <cellStyle name="20% - Accent2 2 3 2 9 2" xfId="17094"/>
    <cellStyle name="20% - Accent2 2 3 3" xfId="248"/>
    <cellStyle name="20% - Accent2 2 3 3 10" xfId="3031"/>
    <cellStyle name="20% - Accent2 2 3 3 11" xfId="11357"/>
    <cellStyle name="20% - Accent2 2 3 3 2" xfId="249"/>
    <cellStyle name="20% - Accent2 2 3 3 2 2" xfId="250"/>
    <cellStyle name="20% - Accent2 2 3 3 2 2 2" xfId="6331"/>
    <cellStyle name="20% - Accent2 2 3 3 2 2 2 2" xfId="14613"/>
    <cellStyle name="20% - Accent2 2 3 3 2 2 3" xfId="8825"/>
    <cellStyle name="20% - Accent2 2 3 3 2 2 3 2" xfId="17103"/>
    <cellStyle name="20% - Accent2 2 3 3 2 2 4" xfId="3033"/>
    <cellStyle name="20% - Accent2 2 3 3 2 2 5" xfId="11359"/>
    <cellStyle name="20% - Accent2 2 3 3 2 3" xfId="6330"/>
    <cellStyle name="20% - Accent2 2 3 3 2 3 2" xfId="14612"/>
    <cellStyle name="20% - Accent2 2 3 3 2 4" xfId="8824"/>
    <cellStyle name="20% - Accent2 2 3 3 2 4 2" xfId="17102"/>
    <cellStyle name="20% - Accent2 2 3 3 2 5" xfId="3032"/>
    <cellStyle name="20% - Accent2 2 3 3 2 6" xfId="11358"/>
    <cellStyle name="20% - Accent2 2 3 3 3" xfId="251"/>
    <cellStyle name="20% - Accent2 2 3 3 3 2" xfId="252"/>
    <cellStyle name="20% - Accent2 2 3 3 3 2 2" xfId="6333"/>
    <cellStyle name="20% - Accent2 2 3 3 3 2 2 2" xfId="14615"/>
    <cellStyle name="20% - Accent2 2 3 3 3 2 3" xfId="8827"/>
    <cellStyle name="20% - Accent2 2 3 3 3 2 3 2" xfId="17105"/>
    <cellStyle name="20% - Accent2 2 3 3 3 2 4" xfId="3035"/>
    <cellStyle name="20% - Accent2 2 3 3 3 2 5" xfId="11361"/>
    <cellStyle name="20% - Accent2 2 3 3 3 3" xfId="6332"/>
    <cellStyle name="20% - Accent2 2 3 3 3 3 2" xfId="14614"/>
    <cellStyle name="20% - Accent2 2 3 3 3 4" xfId="8826"/>
    <cellStyle name="20% - Accent2 2 3 3 3 4 2" xfId="17104"/>
    <cellStyle name="20% - Accent2 2 3 3 3 5" xfId="3034"/>
    <cellStyle name="20% - Accent2 2 3 3 3 6" xfId="11360"/>
    <cellStyle name="20% - Accent2 2 3 3 4" xfId="253"/>
    <cellStyle name="20% - Accent2 2 3 3 4 2" xfId="6334"/>
    <cellStyle name="20% - Accent2 2 3 3 4 2 2" xfId="14616"/>
    <cellStyle name="20% - Accent2 2 3 3 4 3" xfId="8828"/>
    <cellStyle name="20% - Accent2 2 3 3 4 3 2" xfId="17106"/>
    <cellStyle name="20% - Accent2 2 3 3 4 4" xfId="3036"/>
    <cellStyle name="20% - Accent2 2 3 3 4 5" xfId="11362"/>
    <cellStyle name="20% - Accent2 2 3 3 5" xfId="254"/>
    <cellStyle name="20% - Accent2 2 3 3 5 2" xfId="6335"/>
    <cellStyle name="20% - Accent2 2 3 3 5 2 2" xfId="14617"/>
    <cellStyle name="20% - Accent2 2 3 3 5 3" xfId="8829"/>
    <cellStyle name="20% - Accent2 2 3 3 5 3 2" xfId="17107"/>
    <cellStyle name="20% - Accent2 2 3 3 5 4" xfId="3037"/>
    <cellStyle name="20% - Accent2 2 3 3 5 5" xfId="11363"/>
    <cellStyle name="20% - Accent2 2 3 3 6" xfId="3038"/>
    <cellStyle name="20% - Accent2 2 3 3 6 2" xfId="11364"/>
    <cellStyle name="20% - Accent2 2 3 3 7" xfId="6001"/>
    <cellStyle name="20% - Accent2 2 3 3 7 2" xfId="14283"/>
    <cellStyle name="20% - Accent2 2 3 3 8" xfId="6329"/>
    <cellStyle name="20% - Accent2 2 3 3 8 2" xfId="14611"/>
    <cellStyle name="20% - Accent2 2 3 3 9" xfId="8823"/>
    <cellStyle name="20% - Accent2 2 3 3 9 2" xfId="17101"/>
    <cellStyle name="20% - Accent2 2 3 4" xfId="255"/>
    <cellStyle name="20% - Accent2 2 3 4 10" xfId="11365"/>
    <cellStyle name="20% - Accent2 2 3 4 2" xfId="256"/>
    <cellStyle name="20% - Accent2 2 3 4 2 2" xfId="257"/>
    <cellStyle name="20% - Accent2 2 3 4 2 2 2" xfId="6338"/>
    <cellStyle name="20% - Accent2 2 3 4 2 2 2 2" xfId="14620"/>
    <cellStyle name="20% - Accent2 2 3 4 2 2 3" xfId="8832"/>
    <cellStyle name="20% - Accent2 2 3 4 2 2 3 2" xfId="17110"/>
    <cellStyle name="20% - Accent2 2 3 4 2 2 4" xfId="3041"/>
    <cellStyle name="20% - Accent2 2 3 4 2 2 5" xfId="11367"/>
    <cellStyle name="20% - Accent2 2 3 4 2 3" xfId="6337"/>
    <cellStyle name="20% - Accent2 2 3 4 2 3 2" xfId="14619"/>
    <cellStyle name="20% - Accent2 2 3 4 2 4" xfId="8831"/>
    <cellStyle name="20% - Accent2 2 3 4 2 4 2" xfId="17109"/>
    <cellStyle name="20% - Accent2 2 3 4 2 5" xfId="3040"/>
    <cellStyle name="20% - Accent2 2 3 4 2 6" xfId="11366"/>
    <cellStyle name="20% - Accent2 2 3 4 3" xfId="258"/>
    <cellStyle name="20% - Accent2 2 3 4 3 2" xfId="6339"/>
    <cellStyle name="20% - Accent2 2 3 4 3 2 2" xfId="14621"/>
    <cellStyle name="20% - Accent2 2 3 4 3 3" xfId="8833"/>
    <cellStyle name="20% - Accent2 2 3 4 3 3 2" xfId="17111"/>
    <cellStyle name="20% - Accent2 2 3 4 3 4" xfId="3042"/>
    <cellStyle name="20% - Accent2 2 3 4 3 5" xfId="11368"/>
    <cellStyle name="20% - Accent2 2 3 4 4" xfId="259"/>
    <cellStyle name="20% - Accent2 2 3 4 4 2" xfId="6340"/>
    <cellStyle name="20% - Accent2 2 3 4 4 2 2" xfId="14622"/>
    <cellStyle name="20% - Accent2 2 3 4 4 3" xfId="8834"/>
    <cellStyle name="20% - Accent2 2 3 4 4 3 2" xfId="17112"/>
    <cellStyle name="20% - Accent2 2 3 4 4 4" xfId="3043"/>
    <cellStyle name="20% - Accent2 2 3 4 4 5" xfId="11369"/>
    <cellStyle name="20% - Accent2 2 3 4 5" xfId="3044"/>
    <cellStyle name="20% - Accent2 2 3 4 5 2" xfId="11370"/>
    <cellStyle name="20% - Accent2 2 3 4 6" xfId="5817"/>
    <cellStyle name="20% - Accent2 2 3 4 6 2" xfId="14099"/>
    <cellStyle name="20% - Accent2 2 3 4 7" xfId="6336"/>
    <cellStyle name="20% - Accent2 2 3 4 7 2" xfId="14618"/>
    <cellStyle name="20% - Accent2 2 3 4 8" xfId="8830"/>
    <cellStyle name="20% - Accent2 2 3 4 8 2" xfId="17108"/>
    <cellStyle name="20% - Accent2 2 3 4 9" xfId="3039"/>
    <cellStyle name="20% - Accent2 2 3 5" xfId="260"/>
    <cellStyle name="20% - Accent2 2 3 5 2" xfId="261"/>
    <cellStyle name="20% - Accent2 2 3 5 2 2" xfId="6342"/>
    <cellStyle name="20% - Accent2 2 3 5 2 2 2" xfId="14624"/>
    <cellStyle name="20% - Accent2 2 3 5 2 3" xfId="8836"/>
    <cellStyle name="20% - Accent2 2 3 5 2 3 2" xfId="17114"/>
    <cellStyle name="20% - Accent2 2 3 5 2 4" xfId="3046"/>
    <cellStyle name="20% - Accent2 2 3 5 2 5" xfId="11372"/>
    <cellStyle name="20% - Accent2 2 3 5 3" xfId="6341"/>
    <cellStyle name="20% - Accent2 2 3 5 3 2" xfId="14623"/>
    <cellStyle name="20% - Accent2 2 3 5 4" xfId="8835"/>
    <cellStyle name="20% - Accent2 2 3 5 4 2" xfId="17113"/>
    <cellStyle name="20% - Accent2 2 3 5 5" xfId="3045"/>
    <cellStyle name="20% - Accent2 2 3 5 6" xfId="11371"/>
    <cellStyle name="20% - Accent2 2 3 6" xfId="262"/>
    <cellStyle name="20% - Accent2 2 3 6 2" xfId="263"/>
    <cellStyle name="20% - Accent2 2 3 6 2 2" xfId="6344"/>
    <cellStyle name="20% - Accent2 2 3 6 2 2 2" xfId="14626"/>
    <cellStyle name="20% - Accent2 2 3 6 2 3" xfId="8838"/>
    <cellStyle name="20% - Accent2 2 3 6 2 3 2" xfId="17116"/>
    <cellStyle name="20% - Accent2 2 3 6 2 4" xfId="3048"/>
    <cellStyle name="20% - Accent2 2 3 6 2 5" xfId="11374"/>
    <cellStyle name="20% - Accent2 2 3 6 3" xfId="6343"/>
    <cellStyle name="20% - Accent2 2 3 6 3 2" xfId="14625"/>
    <cellStyle name="20% - Accent2 2 3 6 4" xfId="8837"/>
    <cellStyle name="20% - Accent2 2 3 6 4 2" xfId="17115"/>
    <cellStyle name="20% - Accent2 2 3 6 5" xfId="3047"/>
    <cellStyle name="20% - Accent2 2 3 6 6" xfId="11373"/>
    <cellStyle name="20% - Accent2 2 3 7" xfId="264"/>
    <cellStyle name="20% - Accent2 2 3 7 2" xfId="6345"/>
    <cellStyle name="20% - Accent2 2 3 7 2 2" xfId="14627"/>
    <cellStyle name="20% - Accent2 2 3 7 3" xfId="8839"/>
    <cellStyle name="20% - Accent2 2 3 7 3 2" xfId="17117"/>
    <cellStyle name="20% - Accent2 2 3 7 4" xfId="3049"/>
    <cellStyle name="20% - Accent2 2 3 7 5" xfId="11375"/>
    <cellStyle name="20% - Accent2 2 3 8" xfId="265"/>
    <cellStyle name="20% - Accent2 2 3 8 2" xfId="6346"/>
    <cellStyle name="20% - Accent2 2 3 8 2 2" xfId="14628"/>
    <cellStyle name="20% - Accent2 2 3 8 3" xfId="8840"/>
    <cellStyle name="20% - Accent2 2 3 8 3 2" xfId="17118"/>
    <cellStyle name="20% - Accent2 2 3 8 4" xfId="3050"/>
    <cellStyle name="20% - Accent2 2 3 8 5" xfId="11376"/>
    <cellStyle name="20% - Accent2 2 3 9" xfId="3051"/>
    <cellStyle name="20% - Accent2 2 3 9 2" xfId="11377"/>
    <cellStyle name="20% - Accent2 2 4" xfId="266"/>
    <cellStyle name="20% - Accent2 2 4 10" xfId="3052"/>
    <cellStyle name="20% - Accent2 2 4 11" xfId="11378"/>
    <cellStyle name="20% - Accent2 2 4 2" xfId="267"/>
    <cellStyle name="20% - Accent2 2 4 2 2" xfId="268"/>
    <cellStyle name="20% - Accent2 2 4 2 2 2" xfId="6349"/>
    <cellStyle name="20% - Accent2 2 4 2 2 2 2" xfId="14631"/>
    <cellStyle name="20% - Accent2 2 4 2 2 3" xfId="8843"/>
    <cellStyle name="20% - Accent2 2 4 2 2 3 2" xfId="17121"/>
    <cellStyle name="20% - Accent2 2 4 2 2 4" xfId="3054"/>
    <cellStyle name="20% - Accent2 2 4 2 2 5" xfId="11380"/>
    <cellStyle name="20% - Accent2 2 4 2 3" xfId="6348"/>
    <cellStyle name="20% - Accent2 2 4 2 3 2" xfId="14630"/>
    <cellStyle name="20% - Accent2 2 4 2 4" xfId="8842"/>
    <cellStyle name="20% - Accent2 2 4 2 4 2" xfId="17120"/>
    <cellStyle name="20% - Accent2 2 4 2 5" xfId="3053"/>
    <cellStyle name="20% - Accent2 2 4 2 6" xfId="11379"/>
    <cellStyle name="20% - Accent2 2 4 3" xfId="269"/>
    <cellStyle name="20% - Accent2 2 4 3 2" xfId="270"/>
    <cellStyle name="20% - Accent2 2 4 3 2 2" xfId="6351"/>
    <cellStyle name="20% - Accent2 2 4 3 2 2 2" xfId="14633"/>
    <cellStyle name="20% - Accent2 2 4 3 2 3" xfId="8845"/>
    <cellStyle name="20% - Accent2 2 4 3 2 3 2" xfId="17123"/>
    <cellStyle name="20% - Accent2 2 4 3 2 4" xfId="3056"/>
    <cellStyle name="20% - Accent2 2 4 3 2 5" xfId="11382"/>
    <cellStyle name="20% - Accent2 2 4 3 3" xfId="6350"/>
    <cellStyle name="20% - Accent2 2 4 3 3 2" xfId="14632"/>
    <cellStyle name="20% - Accent2 2 4 3 4" xfId="8844"/>
    <cellStyle name="20% - Accent2 2 4 3 4 2" xfId="17122"/>
    <cellStyle name="20% - Accent2 2 4 3 5" xfId="3055"/>
    <cellStyle name="20% - Accent2 2 4 3 6" xfId="11381"/>
    <cellStyle name="20% - Accent2 2 4 4" xfId="271"/>
    <cellStyle name="20% - Accent2 2 4 4 2" xfId="6352"/>
    <cellStyle name="20% - Accent2 2 4 4 2 2" xfId="14634"/>
    <cellStyle name="20% - Accent2 2 4 4 3" xfId="8846"/>
    <cellStyle name="20% - Accent2 2 4 4 3 2" xfId="17124"/>
    <cellStyle name="20% - Accent2 2 4 4 4" xfId="3057"/>
    <cellStyle name="20% - Accent2 2 4 4 5" xfId="11383"/>
    <cellStyle name="20% - Accent2 2 4 5" xfId="272"/>
    <cellStyle name="20% - Accent2 2 4 5 2" xfId="6353"/>
    <cellStyle name="20% - Accent2 2 4 5 2 2" xfId="14635"/>
    <cellStyle name="20% - Accent2 2 4 5 3" xfId="8847"/>
    <cellStyle name="20% - Accent2 2 4 5 3 2" xfId="17125"/>
    <cellStyle name="20% - Accent2 2 4 5 4" xfId="3058"/>
    <cellStyle name="20% - Accent2 2 4 5 5" xfId="11384"/>
    <cellStyle name="20% - Accent2 2 4 6" xfId="3059"/>
    <cellStyle name="20% - Accent2 2 4 6 2" xfId="11385"/>
    <cellStyle name="20% - Accent2 2 4 7" xfId="5756"/>
    <cellStyle name="20% - Accent2 2 4 7 2" xfId="14040"/>
    <cellStyle name="20% - Accent2 2 4 8" xfId="6347"/>
    <cellStyle name="20% - Accent2 2 4 8 2" xfId="14629"/>
    <cellStyle name="20% - Accent2 2 4 9" xfId="8841"/>
    <cellStyle name="20% - Accent2 2 4 9 2" xfId="17119"/>
    <cellStyle name="20% - Accent2 2 5" xfId="273"/>
    <cellStyle name="20% - Accent2 2 5 10" xfId="3060"/>
    <cellStyle name="20% - Accent2 2 5 11" xfId="11386"/>
    <cellStyle name="20% - Accent2 2 5 2" xfId="274"/>
    <cellStyle name="20% - Accent2 2 5 2 2" xfId="275"/>
    <cellStyle name="20% - Accent2 2 5 2 2 2" xfId="6356"/>
    <cellStyle name="20% - Accent2 2 5 2 2 2 2" xfId="14638"/>
    <cellStyle name="20% - Accent2 2 5 2 2 3" xfId="8850"/>
    <cellStyle name="20% - Accent2 2 5 2 2 3 2" xfId="17128"/>
    <cellStyle name="20% - Accent2 2 5 2 2 4" xfId="3062"/>
    <cellStyle name="20% - Accent2 2 5 2 2 5" xfId="11388"/>
    <cellStyle name="20% - Accent2 2 5 2 3" xfId="6355"/>
    <cellStyle name="20% - Accent2 2 5 2 3 2" xfId="14637"/>
    <cellStyle name="20% - Accent2 2 5 2 4" xfId="8849"/>
    <cellStyle name="20% - Accent2 2 5 2 4 2" xfId="17127"/>
    <cellStyle name="20% - Accent2 2 5 2 5" xfId="3061"/>
    <cellStyle name="20% - Accent2 2 5 2 6" xfId="11387"/>
    <cellStyle name="20% - Accent2 2 5 3" xfId="276"/>
    <cellStyle name="20% - Accent2 2 5 3 2" xfId="277"/>
    <cellStyle name="20% - Accent2 2 5 3 2 2" xfId="6358"/>
    <cellStyle name="20% - Accent2 2 5 3 2 2 2" xfId="14640"/>
    <cellStyle name="20% - Accent2 2 5 3 2 3" xfId="8852"/>
    <cellStyle name="20% - Accent2 2 5 3 2 3 2" xfId="17130"/>
    <cellStyle name="20% - Accent2 2 5 3 2 4" xfId="3064"/>
    <cellStyle name="20% - Accent2 2 5 3 2 5" xfId="11390"/>
    <cellStyle name="20% - Accent2 2 5 3 3" xfId="6357"/>
    <cellStyle name="20% - Accent2 2 5 3 3 2" xfId="14639"/>
    <cellStyle name="20% - Accent2 2 5 3 4" xfId="8851"/>
    <cellStyle name="20% - Accent2 2 5 3 4 2" xfId="17129"/>
    <cellStyle name="20% - Accent2 2 5 3 5" xfId="3063"/>
    <cellStyle name="20% - Accent2 2 5 3 6" xfId="11389"/>
    <cellStyle name="20% - Accent2 2 5 4" xfId="278"/>
    <cellStyle name="20% - Accent2 2 5 4 2" xfId="6359"/>
    <cellStyle name="20% - Accent2 2 5 4 2 2" xfId="14641"/>
    <cellStyle name="20% - Accent2 2 5 4 3" xfId="8853"/>
    <cellStyle name="20% - Accent2 2 5 4 3 2" xfId="17131"/>
    <cellStyle name="20% - Accent2 2 5 4 4" xfId="3065"/>
    <cellStyle name="20% - Accent2 2 5 4 5" xfId="11391"/>
    <cellStyle name="20% - Accent2 2 5 5" xfId="279"/>
    <cellStyle name="20% - Accent2 2 5 5 2" xfId="6360"/>
    <cellStyle name="20% - Accent2 2 5 5 2 2" xfId="14642"/>
    <cellStyle name="20% - Accent2 2 5 5 3" xfId="8854"/>
    <cellStyle name="20% - Accent2 2 5 5 3 2" xfId="17132"/>
    <cellStyle name="20% - Accent2 2 5 5 4" xfId="3066"/>
    <cellStyle name="20% - Accent2 2 5 5 5" xfId="11392"/>
    <cellStyle name="20% - Accent2 2 5 6" xfId="3067"/>
    <cellStyle name="20% - Accent2 2 5 6 2" xfId="11393"/>
    <cellStyle name="20% - Accent2 2 5 7" xfId="5844"/>
    <cellStyle name="20% - Accent2 2 5 7 2" xfId="14126"/>
    <cellStyle name="20% - Accent2 2 5 8" xfId="6354"/>
    <cellStyle name="20% - Accent2 2 5 8 2" xfId="14636"/>
    <cellStyle name="20% - Accent2 2 5 9" xfId="8848"/>
    <cellStyle name="20% - Accent2 2 5 9 2" xfId="17126"/>
    <cellStyle name="20% - Accent2 2 6" xfId="280"/>
    <cellStyle name="20% - Accent2 2 6 10" xfId="3068"/>
    <cellStyle name="20% - Accent2 2 6 11" xfId="11394"/>
    <cellStyle name="20% - Accent2 2 6 2" xfId="281"/>
    <cellStyle name="20% - Accent2 2 6 2 2" xfId="282"/>
    <cellStyle name="20% - Accent2 2 6 2 2 2" xfId="6363"/>
    <cellStyle name="20% - Accent2 2 6 2 2 2 2" xfId="14645"/>
    <cellStyle name="20% - Accent2 2 6 2 2 3" xfId="8857"/>
    <cellStyle name="20% - Accent2 2 6 2 2 3 2" xfId="17135"/>
    <cellStyle name="20% - Accent2 2 6 2 2 4" xfId="3070"/>
    <cellStyle name="20% - Accent2 2 6 2 2 5" xfId="11396"/>
    <cellStyle name="20% - Accent2 2 6 2 3" xfId="6362"/>
    <cellStyle name="20% - Accent2 2 6 2 3 2" xfId="14644"/>
    <cellStyle name="20% - Accent2 2 6 2 4" xfId="8856"/>
    <cellStyle name="20% - Accent2 2 6 2 4 2" xfId="17134"/>
    <cellStyle name="20% - Accent2 2 6 2 5" xfId="3069"/>
    <cellStyle name="20% - Accent2 2 6 2 6" xfId="11395"/>
    <cellStyle name="20% - Accent2 2 6 3" xfId="283"/>
    <cellStyle name="20% - Accent2 2 6 3 2" xfId="284"/>
    <cellStyle name="20% - Accent2 2 6 3 2 2" xfId="6365"/>
    <cellStyle name="20% - Accent2 2 6 3 2 2 2" xfId="14647"/>
    <cellStyle name="20% - Accent2 2 6 3 2 3" xfId="8859"/>
    <cellStyle name="20% - Accent2 2 6 3 2 3 2" xfId="17137"/>
    <cellStyle name="20% - Accent2 2 6 3 2 4" xfId="3072"/>
    <cellStyle name="20% - Accent2 2 6 3 2 5" xfId="11398"/>
    <cellStyle name="20% - Accent2 2 6 3 3" xfId="6364"/>
    <cellStyle name="20% - Accent2 2 6 3 3 2" xfId="14646"/>
    <cellStyle name="20% - Accent2 2 6 3 4" xfId="8858"/>
    <cellStyle name="20% - Accent2 2 6 3 4 2" xfId="17136"/>
    <cellStyle name="20% - Accent2 2 6 3 5" xfId="3071"/>
    <cellStyle name="20% - Accent2 2 6 3 6" xfId="11397"/>
    <cellStyle name="20% - Accent2 2 6 4" xfId="285"/>
    <cellStyle name="20% - Accent2 2 6 4 2" xfId="6366"/>
    <cellStyle name="20% - Accent2 2 6 4 2 2" xfId="14648"/>
    <cellStyle name="20% - Accent2 2 6 4 3" xfId="8860"/>
    <cellStyle name="20% - Accent2 2 6 4 3 2" xfId="17138"/>
    <cellStyle name="20% - Accent2 2 6 4 4" xfId="3073"/>
    <cellStyle name="20% - Accent2 2 6 4 5" xfId="11399"/>
    <cellStyle name="20% - Accent2 2 6 5" xfId="286"/>
    <cellStyle name="20% - Accent2 2 6 5 2" xfId="6367"/>
    <cellStyle name="20% - Accent2 2 6 5 2 2" xfId="14649"/>
    <cellStyle name="20% - Accent2 2 6 5 3" xfId="8861"/>
    <cellStyle name="20% - Accent2 2 6 5 3 2" xfId="17139"/>
    <cellStyle name="20% - Accent2 2 6 5 4" xfId="3074"/>
    <cellStyle name="20% - Accent2 2 6 5 5" xfId="11400"/>
    <cellStyle name="20% - Accent2 2 6 6" xfId="3075"/>
    <cellStyle name="20% - Accent2 2 6 6 2" xfId="11401"/>
    <cellStyle name="20% - Accent2 2 6 7" xfId="5942"/>
    <cellStyle name="20% - Accent2 2 6 7 2" xfId="14224"/>
    <cellStyle name="20% - Accent2 2 6 8" xfId="6361"/>
    <cellStyle name="20% - Accent2 2 6 8 2" xfId="14643"/>
    <cellStyle name="20% - Accent2 2 6 9" xfId="8855"/>
    <cellStyle name="20% - Accent2 2 6 9 2" xfId="17133"/>
    <cellStyle name="20% - Accent2 2 7" xfId="287"/>
    <cellStyle name="20% - Accent2 2 7 10" xfId="11402"/>
    <cellStyle name="20% - Accent2 2 7 2" xfId="288"/>
    <cellStyle name="20% - Accent2 2 7 2 2" xfId="289"/>
    <cellStyle name="20% - Accent2 2 7 2 2 2" xfId="6370"/>
    <cellStyle name="20% - Accent2 2 7 2 2 2 2" xfId="14652"/>
    <cellStyle name="20% - Accent2 2 7 2 2 3" xfId="8864"/>
    <cellStyle name="20% - Accent2 2 7 2 2 3 2" xfId="17142"/>
    <cellStyle name="20% - Accent2 2 7 2 2 4" xfId="3078"/>
    <cellStyle name="20% - Accent2 2 7 2 2 5" xfId="11404"/>
    <cellStyle name="20% - Accent2 2 7 2 3" xfId="6369"/>
    <cellStyle name="20% - Accent2 2 7 2 3 2" xfId="14651"/>
    <cellStyle name="20% - Accent2 2 7 2 4" xfId="8863"/>
    <cellStyle name="20% - Accent2 2 7 2 4 2" xfId="17141"/>
    <cellStyle name="20% - Accent2 2 7 2 5" xfId="3077"/>
    <cellStyle name="20% - Accent2 2 7 2 6" xfId="11403"/>
    <cellStyle name="20% - Accent2 2 7 3" xfId="290"/>
    <cellStyle name="20% - Accent2 2 7 3 2" xfId="6371"/>
    <cellStyle name="20% - Accent2 2 7 3 2 2" xfId="14653"/>
    <cellStyle name="20% - Accent2 2 7 3 3" xfId="8865"/>
    <cellStyle name="20% - Accent2 2 7 3 3 2" xfId="17143"/>
    <cellStyle name="20% - Accent2 2 7 3 4" xfId="3079"/>
    <cellStyle name="20% - Accent2 2 7 3 5" xfId="11405"/>
    <cellStyle name="20% - Accent2 2 7 4" xfId="291"/>
    <cellStyle name="20% - Accent2 2 7 4 2" xfId="6372"/>
    <cellStyle name="20% - Accent2 2 7 4 2 2" xfId="14654"/>
    <cellStyle name="20% - Accent2 2 7 4 3" xfId="8866"/>
    <cellStyle name="20% - Accent2 2 7 4 3 2" xfId="17144"/>
    <cellStyle name="20% - Accent2 2 7 4 4" xfId="3080"/>
    <cellStyle name="20% - Accent2 2 7 4 5" xfId="11406"/>
    <cellStyle name="20% - Accent2 2 7 5" xfId="3081"/>
    <cellStyle name="20% - Accent2 2 7 5 2" xfId="11407"/>
    <cellStyle name="20% - Accent2 2 7 6" xfId="5729"/>
    <cellStyle name="20% - Accent2 2 7 6 2" xfId="14015"/>
    <cellStyle name="20% - Accent2 2 7 7" xfId="6368"/>
    <cellStyle name="20% - Accent2 2 7 7 2" xfId="14650"/>
    <cellStyle name="20% - Accent2 2 7 8" xfId="8862"/>
    <cellStyle name="20% - Accent2 2 7 8 2" xfId="17140"/>
    <cellStyle name="20% - Accent2 2 7 9" xfId="3076"/>
    <cellStyle name="20% - Accent2 2 8" xfId="292"/>
    <cellStyle name="20% - Accent2 2 8 2" xfId="293"/>
    <cellStyle name="20% - Accent2 2 8 2 2" xfId="6374"/>
    <cellStyle name="20% - Accent2 2 8 2 2 2" xfId="14656"/>
    <cellStyle name="20% - Accent2 2 8 2 3" xfId="8868"/>
    <cellStyle name="20% - Accent2 2 8 2 3 2" xfId="17146"/>
    <cellStyle name="20% - Accent2 2 8 2 4" xfId="3083"/>
    <cellStyle name="20% - Accent2 2 8 2 5" xfId="11409"/>
    <cellStyle name="20% - Accent2 2 8 3" xfId="6373"/>
    <cellStyle name="20% - Accent2 2 8 3 2" xfId="14655"/>
    <cellStyle name="20% - Accent2 2 8 4" xfId="8867"/>
    <cellStyle name="20% - Accent2 2 8 4 2" xfId="17145"/>
    <cellStyle name="20% - Accent2 2 8 5" xfId="3082"/>
    <cellStyle name="20% - Accent2 2 8 6" xfId="11408"/>
    <cellStyle name="20% - Accent2 2 9" xfId="294"/>
    <cellStyle name="20% - Accent2 2 9 2" xfId="295"/>
    <cellStyle name="20% - Accent2 2 9 2 2" xfId="6376"/>
    <cellStyle name="20% - Accent2 2 9 2 2 2" xfId="14658"/>
    <cellStyle name="20% - Accent2 2 9 2 3" xfId="8870"/>
    <cellStyle name="20% - Accent2 2 9 2 3 2" xfId="17148"/>
    <cellStyle name="20% - Accent2 2 9 2 4" xfId="3085"/>
    <cellStyle name="20% - Accent2 2 9 2 5" xfId="11411"/>
    <cellStyle name="20% - Accent2 2 9 3" xfId="6375"/>
    <cellStyle name="20% - Accent2 2 9 3 2" xfId="14657"/>
    <cellStyle name="20% - Accent2 2 9 4" xfId="8869"/>
    <cellStyle name="20% - Accent2 2 9 4 2" xfId="17147"/>
    <cellStyle name="20% - Accent2 2 9 5" xfId="3084"/>
    <cellStyle name="20% - Accent2 2 9 6" xfId="11410"/>
    <cellStyle name="20% - Accent2 20" xfId="2963"/>
    <cellStyle name="20% - Accent2 21" xfId="11289"/>
    <cellStyle name="20% - Accent2 22" xfId="19349"/>
    <cellStyle name="20% - Accent2 3" xfId="296"/>
    <cellStyle name="20% - Accent2 3 10" xfId="5655"/>
    <cellStyle name="20% - Accent2 3 10 2" xfId="13942"/>
    <cellStyle name="20% - Accent2 3 11" xfId="6377"/>
    <cellStyle name="20% - Accent2 3 11 2" xfId="14659"/>
    <cellStyle name="20% - Accent2 3 12" xfId="8871"/>
    <cellStyle name="20% - Accent2 3 12 2" xfId="17149"/>
    <cellStyle name="20% - Accent2 3 13" xfId="3086"/>
    <cellStyle name="20% - Accent2 3 14" xfId="11412"/>
    <cellStyle name="20% - Accent2 3 2" xfId="297"/>
    <cellStyle name="20% - Accent2 3 2 10" xfId="3087"/>
    <cellStyle name="20% - Accent2 3 2 11" xfId="11413"/>
    <cellStyle name="20% - Accent2 3 2 2" xfId="298"/>
    <cellStyle name="20% - Accent2 3 2 2 2" xfId="299"/>
    <cellStyle name="20% - Accent2 3 2 2 2 2" xfId="6380"/>
    <cellStyle name="20% - Accent2 3 2 2 2 2 2" xfId="14662"/>
    <cellStyle name="20% - Accent2 3 2 2 2 3" xfId="8874"/>
    <cellStyle name="20% - Accent2 3 2 2 2 3 2" xfId="17152"/>
    <cellStyle name="20% - Accent2 3 2 2 2 4" xfId="3089"/>
    <cellStyle name="20% - Accent2 3 2 2 2 5" xfId="11415"/>
    <cellStyle name="20% - Accent2 3 2 2 3" xfId="6379"/>
    <cellStyle name="20% - Accent2 3 2 2 3 2" xfId="14661"/>
    <cellStyle name="20% - Accent2 3 2 2 4" xfId="8873"/>
    <cellStyle name="20% - Accent2 3 2 2 4 2" xfId="17151"/>
    <cellStyle name="20% - Accent2 3 2 2 5" xfId="3088"/>
    <cellStyle name="20% - Accent2 3 2 2 6" xfId="11414"/>
    <cellStyle name="20% - Accent2 3 2 3" xfId="300"/>
    <cellStyle name="20% - Accent2 3 2 3 2" xfId="301"/>
    <cellStyle name="20% - Accent2 3 2 3 2 2" xfId="6382"/>
    <cellStyle name="20% - Accent2 3 2 3 2 2 2" xfId="14664"/>
    <cellStyle name="20% - Accent2 3 2 3 2 3" xfId="8876"/>
    <cellStyle name="20% - Accent2 3 2 3 2 3 2" xfId="17154"/>
    <cellStyle name="20% - Accent2 3 2 3 2 4" xfId="3091"/>
    <cellStyle name="20% - Accent2 3 2 3 2 5" xfId="11417"/>
    <cellStyle name="20% - Accent2 3 2 3 3" xfId="6381"/>
    <cellStyle name="20% - Accent2 3 2 3 3 2" xfId="14663"/>
    <cellStyle name="20% - Accent2 3 2 3 4" xfId="8875"/>
    <cellStyle name="20% - Accent2 3 2 3 4 2" xfId="17153"/>
    <cellStyle name="20% - Accent2 3 2 3 5" xfId="3090"/>
    <cellStyle name="20% - Accent2 3 2 3 6" xfId="11416"/>
    <cellStyle name="20% - Accent2 3 2 4" xfId="302"/>
    <cellStyle name="20% - Accent2 3 2 4 2" xfId="6383"/>
    <cellStyle name="20% - Accent2 3 2 4 2 2" xfId="14665"/>
    <cellStyle name="20% - Accent2 3 2 4 3" xfId="8877"/>
    <cellStyle name="20% - Accent2 3 2 4 3 2" xfId="17155"/>
    <cellStyle name="20% - Accent2 3 2 4 4" xfId="3092"/>
    <cellStyle name="20% - Accent2 3 2 4 5" xfId="11418"/>
    <cellStyle name="20% - Accent2 3 2 5" xfId="303"/>
    <cellStyle name="20% - Accent2 3 2 5 2" xfId="6384"/>
    <cellStyle name="20% - Accent2 3 2 5 2 2" xfId="14666"/>
    <cellStyle name="20% - Accent2 3 2 5 3" xfId="8878"/>
    <cellStyle name="20% - Accent2 3 2 5 3 2" xfId="17156"/>
    <cellStyle name="20% - Accent2 3 2 5 4" xfId="3093"/>
    <cellStyle name="20% - Accent2 3 2 5 5" xfId="11419"/>
    <cellStyle name="20% - Accent2 3 2 6" xfId="3094"/>
    <cellStyle name="20% - Accent2 3 2 6 2" xfId="11420"/>
    <cellStyle name="20% - Accent2 3 2 7" xfId="5858"/>
    <cellStyle name="20% - Accent2 3 2 7 2" xfId="14140"/>
    <cellStyle name="20% - Accent2 3 2 8" xfId="6378"/>
    <cellStyle name="20% - Accent2 3 2 8 2" xfId="14660"/>
    <cellStyle name="20% - Accent2 3 2 9" xfId="8872"/>
    <cellStyle name="20% - Accent2 3 2 9 2" xfId="17150"/>
    <cellStyle name="20% - Accent2 3 3" xfId="304"/>
    <cellStyle name="20% - Accent2 3 3 10" xfId="3095"/>
    <cellStyle name="20% - Accent2 3 3 11" xfId="11421"/>
    <cellStyle name="20% - Accent2 3 3 2" xfId="305"/>
    <cellStyle name="20% - Accent2 3 3 2 2" xfId="306"/>
    <cellStyle name="20% - Accent2 3 3 2 2 2" xfId="6387"/>
    <cellStyle name="20% - Accent2 3 3 2 2 2 2" xfId="14669"/>
    <cellStyle name="20% - Accent2 3 3 2 2 3" xfId="8881"/>
    <cellStyle name="20% - Accent2 3 3 2 2 3 2" xfId="17159"/>
    <cellStyle name="20% - Accent2 3 3 2 2 4" xfId="3097"/>
    <cellStyle name="20% - Accent2 3 3 2 2 5" xfId="11423"/>
    <cellStyle name="20% - Accent2 3 3 2 3" xfId="6386"/>
    <cellStyle name="20% - Accent2 3 3 2 3 2" xfId="14668"/>
    <cellStyle name="20% - Accent2 3 3 2 4" xfId="8880"/>
    <cellStyle name="20% - Accent2 3 3 2 4 2" xfId="17158"/>
    <cellStyle name="20% - Accent2 3 3 2 5" xfId="3096"/>
    <cellStyle name="20% - Accent2 3 3 2 6" xfId="11422"/>
    <cellStyle name="20% - Accent2 3 3 3" xfId="307"/>
    <cellStyle name="20% - Accent2 3 3 3 2" xfId="308"/>
    <cellStyle name="20% - Accent2 3 3 3 2 2" xfId="6389"/>
    <cellStyle name="20% - Accent2 3 3 3 2 2 2" xfId="14671"/>
    <cellStyle name="20% - Accent2 3 3 3 2 3" xfId="8883"/>
    <cellStyle name="20% - Accent2 3 3 3 2 3 2" xfId="17161"/>
    <cellStyle name="20% - Accent2 3 3 3 2 4" xfId="3099"/>
    <cellStyle name="20% - Accent2 3 3 3 2 5" xfId="11425"/>
    <cellStyle name="20% - Accent2 3 3 3 3" xfId="6388"/>
    <cellStyle name="20% - Accent2 3 3 3 3 2" xfId="14670"/>
    <cellStyle name="20% - Accent2 3 3 3 4" xfId="8882"/>
    <cellStyle name="20% - Accent2 3 3 3 4 2" xfId="17160"/>
    <cellStyle name="20% - Accent2 3 3 3 5" xfId="3098"/>
    <cellStyle name="20% - Accent2 3 3 3 6" xfId="11424"/>
    <cellStyle name="20% - Accent2 3 3 4" xfId="309"/>
    <cellStyle name="20% - Accent2 3 3 4 2" xfId="6390"/>
    <cellStyle name="20% - Accent2 3 3 4 2 2" xfId="14672"/>
    <cellStyle name="20% - Accent2 3 3 4 3" xfId="8884"/>
    <cellStyle name="20% - Accent2 3 3 4 3 2" xfId="17162"/>
    <cellStyle name="20% - Accent2 3 3 4 4" xfId="3100"/>
    <cellStyle name="20% - Accent2 3 3 4 5" xfId="11426"/>
    <cellStyle name="20% - Accent2 3 3 5" xfId="310"/>
    <cellStyle name="20% - Accent2 3 3 5 2" xfId="6391"/>
    <cellStyle name="20% - Accent2 3 3 5 2 2" xfId="14673"/>
    <cellStyle name="20% - Accent2 3 3 5 3" xfId="8885"/>
    <cellStyle name="20% - Accent2 3 3 5 3 2" xfId="17163"/>
    <cellStyle name="20% - Accent2 3 3 5 4" xfId="3101"/>
    <cellStyle name="20% - Accent2 3 3 5 5" xfId="11427"/>
    <cellStyle name="20% - Accent2 3 3 6" xfId="3102"/>
    <cellStyle name="20% - Accent2 3 3 6 2" xfId="11428"/>
    <cellStyle name="20% - Accent2 3 3 7" xfId="5956"/>
    <cellStyle name="20% - Accent2 3 3 7 2" xfId="14238"/>
    <cellStyle name="20% - Accent2 3 3 8" xfId="6385"/>
    <cellStyle name="20% - Accent2 3 3 8 2" xfId="14667"/>
    <cellStyle name="20% - Accent2 3 3 9" xfId="8879"/>
    <cellStyle name="20% - Accent2 3 3 9 2" xfId="17157"/>
    <cellStyle name="20% - Accent2 3 4" xfId="311"/>
    <cellStyle name="20% - Accent2 3 4 10" xfId="11429"/>
    <cellStyle name="20% - Accent2 3 4 2" xfId="312"/>
    <cellStyle name="20% - Accent2 3 4 2 2" xfId="313"/>
    <cellStyle name="20% - Accent2 3 4 2 2 2" xfId="6394"/>
    <cellStyle name="20% - Accent2 3 4 2 2 2 2" xfId="14676"/>
    <cellStyle name="20% - Accent2 3 4 2 2 3" xfId="8888"/>
    <cellStyle name="20% - Accent2 3 4 2 2 3 2" xfId="17166"/>
    <cellStyle name="20% - Accent2 3 4 2 2 4" xfId="3105"/>
    <cellStyle name="20% - Accent2 3 4 2 2 5" xfId="11431"/>
    <cellStyle name="20% - Accent2 3 4 2 3" xfId="6393"/>
    <cellStyle name="20% - Accent2 3 4 2 3 2" xfId="14675"/>
    <cellStyle name="20% - Accent2 3 4 2 4" xfId="8887"/>
    <cellStyle name="20% - Accent2 3 4 2 4 2" xfId="17165"/>
    <cellStyle name="20% - Accent2 3 4 2 5" xfId="3104"/>
    <cellStyle name="20% - Accent2 3 4 2 6" xfId="11430"/>
    <cellStyle name="20% - Accent2 3 4 3" xfId="314"/>
    <cellStyle name="20% - Accent2 3 4 3 2" xfId="6395"/>
    <cellStyle name="20% - Accent2 3 4 3 2 2" xfId="14677"/>
    <cellStyle name="20% - Accent2 3 4 3 3" xfId="8889"/>
    <cellStyle name="20% - Accent2 3 4 3 3 2" xfId="17167"/>
    <cellStyle name="20% - Accent2 3 4 3 4" xfId="3106"/>
    <cellStyle name="20% - Accent2 3 4 3 5" xfId="11432"/>
    <cellStyle name="20% - Accent2 3 4 4" xfId="315"/>
    <cellStyle name="20% - Accent2 3 4 4 2" xfId="6396"/>
    <cellStyle name="20% - Accent2 3 4 4 2 2" xfId="14678"/>
    <cellStyle name="20% - Accent2 3 4 4 3" xfId="8890"/>
    <cellStyle name="20% - Accent2 3 4 4 3 2" xfId="17168"/>
    <cellStyle name="20% - Accent2 3 4 4 4" xfId="3107"/>
    <cellStyle name="20% - Accent2 3 4 4 5" xfId="11433"/>
    <cellStyle name="20% - Accent2 3 4 5" xfId="3108"/>
    <cellStyle name="20% - Accent2 3 4 5 2" xfId="11434"/>
    <cellStyle name="20% - Accent2 3 4 6" xfId="5772"/>
    <cellStyle name="20% - Accent2 3 4 6 2" xfId="14054"/>
    <cellStyle name="20% - Accent2 3 4 7" xfId="6392"/>
    <cellStyle name="20% - Accent2 3 4 7 2" xfId="14674"/>
    <cellStyle name="20% - Accent2 3 4 8" xfId="8886"/>
    <cellStyle name="20% - Accent2 3 4 8 2" xfId="17164"/>
    <cellStyle name="20% - Accent2 3 4 9" xfId="3103"/>
    <cellStyle name="20% - Accent2 3 5" xfId="316"/>
    <cellStyle name="20% - Accent2 3 5 2" xfId="317"/>
    <cellStyle name="20% - Accent2 3 5 2 2" xfId="6398"/>
    <cellStyle name="20% - Accent2 3 5 2 2 2" xfId="14680"/>
    <cellStyle name="20% - Accent2 3 5 2 3" xfId="8892"/>
    <cellStyle name="20% - Accent2 3 5 2 3 2" xfId="17170"/>
    <cellStyle name="20% - Accent2 3 5 2 4" xfId="3110"/>
    <cellStyle name="20% - Accent2 3 5 2 5" xfId="11436"/>
    <cellStyle name="20% - Accent2 3 5 3" xfId="6397"/>
    <cellStyle name="20% - Accent2 3 5 3 2" xfId="14679"/>
    <cellStyle name="20% - Accent2 3 5 4" xfId="8891"/>
    <cellStyle name="20% - Accent2 3 5 4 2" xfId="17169"/>
    <cellStyle name="20% - Accent2 3 5 5" xfId="3109"/>
    <cellStyle name="20% - Accent2 3 5 6" xfId="11435"/>
    <cellStyle name="20% - Accent2 3 6" xfId="318"/>
    <cellStyle name="20% - Accent2 3 6 2" xfId="319"/>
    <cellStyle name="20% - Accent2 3 6 2 2" xfId="6400"/>
    <cellStyle name="20% - Accent2 3 6 2 2 2" xfId="14682"/>
    <cellStyle name="20% - Accent2 3 6 2 3" xfId="8894"/>
    <cellStyle name="20% - Accent2 3 6 2 3 2" xfId="17172"/>
    <cellStyle name="20% - Accent2 3 6 2 4" xfId="3112"/>
    <cellStyle name="20% - Accent2 3 6 2 5" xfId="11438"/>
    <cellStyle name="20% - Accent2 3 6 3" xfId="6399"/>
    <cellStyle name="20% - Accent2 3 6 3 2" xfId="14681"/>
    <cellStyle name="20% - Accent2 3 6 4" xfId="8893"/>
    <cellStyle name="20% - Accent2 3 6 4 2" xfId="17171"/>
    <cellStyle name="20% - Accent2 3 6 5" xfId="3111"/>
    <cellStyle name="20% - Accent2 3 6 6" xfId="11437"/>
    <cellStyle name="20% - Accent2 3 7" xfId="320"/>
    <cellStyle name="20% - Accent2 3 7 2" xfId="6401"/>
    <cellStyle name="20% - Accent2 3 7 2 2" xfId="14683"/>
    <cellStyle name="20% - Accent2 3 7 3" xfId="8895"/>
    <cellStyle name="20% - Accent2 3 7 3 2" xfId="17173"/>
    <cellStyle name="20% - Accent2 3 7 4" xfId="3113"/>
    <cellStyle name="20% - Accent2 3 7 5" xfId="11439"/>
    <cellStyle name="20% - Accent2 3 8" xfId="321"/>
    <cellStyle name="20% - Accent2 3 8 2" xfId="6402"/>
    <cellStyle name="20% - Accent2 3 8 2 2" xfId="14684"/>
    <cellStyle name="20% - Accent2 3 8 3" xfId="8896"/>
    <cellStyle name="20% - Accent2 3 8 3 2" xfId="17174"/>
    <cellStyle name="20% - Accent2 3 8 4" xfId="3114"/>
    <cellStyle name="20% - Accent2 3 8 5" xfId="11440"/>
    <cellStyle name="20% - Accent2 3 9" xfId="3115"/>
    <cellStyle name="20% - Accent2 3 9 2" xfId="11441"/>
    <cellStyle name="20% - Accent2 4" xfId="322"/>
    <cellStyle name="20% - Accent2 4 10" xfId="5684"/>
    <cellStyle name="20% - Accent2 4 10 2" xfId="13970"/>
    <cellStyle name="20% - Accent2 4 11" xfId="6403"/>
    <cellStyle name="20% - Accent2 4 11 2" xfId="14685"/>
    <cellStyle name="20% - Accent2 4 12" xfId="8897"/>
    <cellStyle name="20% - Accent2 4 12 2" xfId="17175"/>
    <cellStyle name="20% - Accent2 4 13" xfId="3116"/>
    <cellStyle name="20% - Accent2 4 14" xfId="11442"/>
    <cellStyle name="20% - Accent2 4 2" xfId="323"/>
    <cellStyle name="20% - Accent2 4 2 10" xfId="3117"/>
    <cellStyle name="20% - Accent2 4 2 11" xfId="11443"/>
    <cellStyle name="20% - Accent2 4 2 2" xfId="324"/>
    <cellStyle name="20% - Accent2 4 2 2 2" xfId="325"/>
    <cellStyle name="20% - Accent2 4 2 2 2 2" xfId="6406"/>
    <cellStyle name="20% - Accent2 4 2 2 2 2 2" xfId="14688"/>
    <cellStyle name="20% - Accent2 4 2 2 2 3" xfId="8900"/>
    <cellStyle name="20% - Accent2 4 2 2 2 3 2" xfId="17178"/>
    <cellStyle name="20% - Accent2 4 2 2 2 4" xfId="3119"/>
    <cellStyle name="20% - Accent2 4 2 2 2 5" xfId="11445"/>
    <cellStyle name="20% - Accent2 4 2 2 3" xfId="6405"/>
    <cellStyle name="20% - Accent2 4 2 2 3 2" xfId="14687"/>
    <cellStyle name="20% - Accent2 4 2 2 4" xfId="8899"/>
    <cellStyle name="20% - Accent2 4 2 2 4 2" xfId="17177"/>
    <cellStyle name="20% - Accent2 4 2 2 5" xfId="3118"/>
    <cellStyle name="20% - Accent2 4 2 2 6" xfId="11444"/>
    <cellStyle name="20% - Accent2 4 2 3" xfId="326"/>
    <cellStyle name="20% - Accent2 4 2 3 2" xfId="327"/>
    <cellStyle name="20% - Accent2 4 2 3 2 2" xfId="6408"/>
    <cellStyle name="20% - Accent2 4 2 3 2 2 2" xfId="14690"/>
    <cellStyle name="20% - Accent2 4 2 3 2 3" xfId="8902"/>
    <cellStyle name="20% - Accent2 4 2 3 2 3 2" xfId="17180"/>
    <cellStyle name="20% - Accent2 4 2 3 2 4" xfId="3121"/>
    <cellStyle name="20% - Accent2 4 2 3 2 5" xfId="11447"/>
    <cellStyle name="20% - Accent2 4 2 3 3" xfId="6407"/>
    <cellStyle name="20% - Accent2 4 2 3 3 2" xfId="14689"/>
    <cellStyle name="20% - Accent2 4 2 3 4" xfId="8901"/>
    <cellStyle name="20% - Accent2 4 2 3 4 2" xfId="17179"/>
    <cellStyle name="20% - Accent2 4 2 3 5" xfId="3120"/>
    <cellStyle name="20% - Accent2 4 2 3 6" xfId="11446"/>
    <cellStyle name="20% - Accent2 4 2 4" xfId="328"/>
    <cellStyle name="20% - Accent2 4 2 4 2" xfId="6409"/>
    <cellStyle name="20% - Accent2 4 2 4 2 2" xfId="14691"/>
    <cellStyle name="20% - Accent2 4 2 4 3" xfId="8903"/>
    <cellStyle name="20% - Accent2 4 2 4 3 2" xfId="17181"/>
    <cellStyle name="20% - Accent2 4 2 4 4" xfId="3122"/>
    <cellStyle name="20% - Accent2 4 2 4 5" xfId="11448"/>
    <cellStyle name="20% - Accent2 4 2 5" xfId="329"/>
    <cellStyle name="20% - Accent2 4 2 5 2" xfId="6410"/>
    <cellStyle name="20% - Accent2 4 2 5 2 2" xfId="14692"/>
    <cellStyle name="20% - Accent2 4 2 5 3" xfId="8904"/>
    <cellStyle name="20% - Accent2 4 2 5 3 2" xfId="17182"/>
    <cellStyle name="20% - Accent2 4 2 5 4" xfId="3123"/>
    <cellStyle name="20% - Accent2 4 2 5 5" xfId="11449"/>
    <cellStyle name="20% - Accent2 4 2 6" xfId="3124"/>
    <cellStyle name="20% - Accent2 4 2 6 2" xfId="11450"/>
    <cellStyle name="20% - Accent2 4 2 7" xfId="5886"/>
    <cellStyle name="20% - Accent2 4 2 7 2" xfId="14168"/>
    <cellStyle name="20% - Accent2 4 2 8" xfId="6404"/>
    <cellStyle name="20% - Accent2 4 2 8 2" xfId="14686"/>
    <cellStyle name="20% - Accent2 4 2 9" xfId="8898"/>
    <cellStyle name="20% - Accent2 4 2 9 2" xfId="17176"/>
    <cellStyle name="20% - Accent2 4 3" xfId="330"/>
    <cellStyle name="20% - Accent2 4 3 10" xfId="3125"/>
    <cellStyle name="20% - Accent2 4 3 11" xfId="11451"/>
    <cellStyle name="20% - Accent2 4 3 2" xfId="331"/>
    <cellStyle name="20% - Accent2 4 3 2 2" xfId="332"/>
    <cellStyle name="20% - Accent2 4 3 2 2 2" xfId="6413"/>
    <cellStyle name="20% - Accent2 4 3 2 2 2 2" xfId="14695"/>
    <cellStyle name="20% - Accent2 4 3 2 2 3" xfId="8907"/>
    <cellStyle name="20% - Accent2 4 3 2 2 3 2" xfId="17185"/>
    <cellStyle name="20% - Accent2 4 3 2 2 4" xfId="3127"/>
    <cellStyle name="20% - Accent2 4 3 2 2 5" xfId="11453"/>
    <cellStyle name="20% - Accent2 4 3 2 3" xfId="6412"/>
    <cellStyle name="20% - Accent2 4 3 2 3 2" xfId="14694"/>
    <cellStyle name="20% - Accent2 4 3 2 4" xfId="8906"/>
    <cellStyle name="20% - Accent2 4 3 2 4 2" xfId="17184"/>
    <cellStyle name="20% - Accent2 4 3 2 5" xfId="3126"/>
    <cellStyle name="20% - Accent2 4 3 2 6" xfId="11452"/>
    <cellStyle name="20% - Accent2 4 3 3" xfId="333"/>
    <cellStyle name="20% - Accent2 4 3 3 2" xfId="334"/>
    <cellStyle name="20% - Accent2 4 3 3 2 2" xfId="6415"/>
    <cellStyle name="20% - Accent2 4 3 3 2 2 2" xfId="14697"/>
    <cellStyle name="20% - Accent2 4 3 3 2 3" xfId="8909"/>
    <cellStyle name="20% - Accent2 4 3 3 2 3 2" xfId="17187"/>
    <cellStyle name="20% - Accent2 4 3 3 2 4" xfId="3129"/>
    <cellStyle name="20% - Accent2 4 3 3 2 5" xfId="11455"/>
    <cellStyle name="20% - Accent2 4 3 3 3" xfId="6414"/>
    <cellStyle name="20% - Accent2 4 3 3 3 2" xfId="14696"/>
    <cellStyle name="20% - Accent2 4 3 3 4" xfId="8908"/>
    <cellStyle name="20% - Accent2 4 3 3 4 2" xfId="17186"/>
    <cellStyle name="20% - Accent2 4 3 3 5" xfId="3128"/>
    <cellStyle name="20% - Accent2 4 3 3 6" xfId="11454"/>
    <cellStyle name="20% - Accent2 4 3 4" xfId="335"/>
    <cellStyle name="20% - Accent2 4 3 4 2" xfId="6416"/>
    <cellStyle name="20% - Accent2 4 3 4 2 2" xfId="14698"/>
    <cellStyle name="20% - Accent2 4 3 4 3" xfId="8910"/>
    <cellStyle name="20% - Accent2 4 3 4 3 2" xfId="17188"/>
    <cellStyle name="20% - Accent2 4 3 4 4" xfId="3130"/>
    <cellStyle name="20% - Accent2 4 3 4 5" xfId="11456"/>
    <cellStyle name="20% - Accent2 4 3 5" xfId="336"/>
    <cellStyle name="20% - Accent2 4 3 5 2" xfId="6417"/>
    <cellStyle name="20% - Accent2 4 3 5 2 2" xfId="14699"/>
    <cellStyle name="20% - Accent2 4 3 5 3" xfId="8911"/>
    <cellStyle name="20% - Accent2 4 3 5 3 2" xfId="17189"/>
    <cellStyle name="20% - Accent2 4 3 5 4" xfId="3131"/>
    <cellStyle name="20% - Accent2 4 3 5 5" xfId="11457"/>
    <cellStyle name="20% - Accent2 4 3 6" xfId="3132"/>
    <cellStyle name="20% - Accent2 4 3 6 2" xfId="11458"/>
    <cellStyle name="20% - Accent2 4 3 7" xfId="5984"/>
    <cellStyle name="20% - Accent2 4 3 7 2" xfId="14266"/>
    <cellStyle name="20% - Accent2 4 3 8" xfId="6411"/>
    <cellStyle name="20% - Accent2 4 3 8 2" xfId="14693"/>
    <cellStyle name="20% - Accent2 4 3 9" xfId="8905"/>
    <cellStyle name="20% - Accent2 4 3 9 2" xfId="17183"/>
    <cellStyle name="20% - Accent2 4 4" xfId="337"/>
    <cellStyle name="20% - Accent2 4 4 10" xfId="11459"/>
    <cellStyle name="20% - Accent2 4 4 2" xfId="338"/>
    <cellStyle name="20% - Accent2 4 4 2 2" xfId="339"/>
    <cellStyle name="20% - Accent2 4 4 2 2 2" xfId="6420"/>
    <cellStyle name="20% - Accent2 4 4 2 2 2 2" xfId="14702"/>
    <cellStyle name="20% - Accent2 4 4 2 2 3" xfId="8914"/>
    <cellStyle name="20% - Accent2 4 4 2 2 3 2" xfId="17192"/>
    <cellStyle name="20% - Accent2 4 4 2 2 4" xfId="3135"/>
    <cellStyle name="20% - Accent2 4 4 2 2 5" xfId="11461"/>
    <cellStyle name="20% - Accent2 4 4 2 3" xfId="6419"/>
    <cellStyle name="20% - Accent2 4 4 2 3 2" xfId="14701"/>
    <cellStyle name="20% - Accent2 4 4 2 4" xfId="8913"/>
    <cellStyle name="20% - Accent2 4 4 2 4 2" xfId="17191"/>
    <cellStyle name="20% - Accent2 4 4 2 5" xfId="3134"/>
    <cellStyle name="20% - Accent2 4 4 2 6" xfId="11460"/>
    <cellStyle name="20% - Accent2 4 4 3" xfId="340"/>
    <cellStyle name="20% - Accent2 4 4 3 2" xfId="6421"/>
    <cellStyle name="20% - Accent2 4 4 3 2 2" xfId="14703"/>
    <cellStyle name="20% - Accent2 4 4 3 3" xfId="8915"/>
    <cellStyle name="20% - Accent2 4 4 3 3 2" xfId="17193"/>
    <cellStyle name="20% - Accent2 4 4 3 4" xfId="3136"/>
    <cellStyle name="20% - Accent2 4 4 3 5" xfId="11462"/>
    <cellStyle name="20% - Accent2 4 4 4" xfId="341"/>
    <cellStyle name="20% - Accent2 4 4 4 2" xfId="6422"/>
    <cellStyle name="20% - Accent2 4 4 4 2 2" xfId="14704"/>
    <cellStyle name="20% - Accent2 4 4 4 3" xfId="8916"/>
    <cellStyle name="20% - Accent2 4 4 4 3 2" xfId="17194"/>
    <cellStyle name="20% - Accent2 4 4 4 4" xfId="3137"/>
    <cellStyle name="20% - Accent2 4 4 4 5" xfId="11463"/>
    <cellStyle name="20% - Accent2 4 4 5" xfId="3138"/>
    <cellStyle name="20% - Accent2 4 4 5 2" xfId="11464"/>
    <cellStyle name="20% - Accent2 4 4 6" xfId="5800"/>
    <cellStyle name="20% - Accent2 4 4 6 2" xfId="14082"/>
    <cellStyle name="20% - Accent2 4 4 7" xfId="6418"/>
    <cellStyle name="20% - Accent2 4 4 7 2" xfId="14700"/>
    <cellStyle name="20% - Accent2 4 4 8" xfId="8912"/>
    <cellStyle name="20% - Accent2 4 4 8 2" xfId="17190"/>
    <cellStyle name="20% - Accent2 4 4 9" xfId="3133"/>
    <cellStyle name="20% - Accent2 4 5" xfId="342"/>
    <cellStyle name="20% - Accent2 4 5 2" xfId="343"/>
    <cellStyle name="20% - Accent2 4 5 2 2" xfId="6424"/>
    <cellStyle name="20% - Accent2 4 5 2 2 2" xfId="14706"/>
    <cellStyle name="20% - Accent2 4 5 2 3" xfId="8918"/>
    <cellStyle name="20% - Accent2 4 5 2 3 2" xfId="17196"/>
    <cellStyle name="20% - Accent2 4 5 2 4" xfId="3140"/>
    <cellStyle name="20% - Accent2 4 5 2 5" xfId="11466"/>
    <cellStyle name="20% - Accent2 4 5 3" xfId="6423"/>
    <cellStyle name="20% - Accent2 4 5 3 2" xfId="14705"/>
    <cellStyle name="20% - Accent2 4 5 4" xfId="8917"/>
    <cellStyle name="20% - Accent2 4 5 4 2" xfId="17195"/>
    <cellStyle name="20% - Accent2 4 5 5" xfId="3139"/>
    <cellStyle name="20% - Accent2 4 5 6" xfId="11465"/>
    <cellStyle name="20% - Accent2 4 6" xfId="344"/>
    <cellStyle name="20% - Accent2 4 6 2" xfId="345"/>
    <cellStyle name="20% - Accent2 4 6 2 2" xfId="6426"/>
    <cellStyle name="20% - Accent2 4 6 2 2 2" xfId="14708"/>
    <cellStyle name="20% - Accent2 4 6 2 3" xfId="8920"/>
    <cellStyle name="20% - Accent2 4 6 2 3 2" xfId="17198"/>
    <cellStyle name="20% - Accent2 4 6 2 4" xfId="3142"/>
    <cellStyle name="20% - Accent2 4 6 2 5" xfId="11468"/>
    <cellStyle name="20% - Accent2 4 6 3" xfId="6425"/>
    <cellStyle name="20% - Accent2 4 6 3 2" xfId="14707"/>
    <cellStyle name="20% - Accent2 4 6 4" xfId="8919"/>
    <cellStyle name="20% - Accent2 4 6 4 2" xfId="17197"/>
    <cellStyle name="20% - Accent2 4 6 5" xfId="3141"/>
    <cellStyle name="20% - Accent2 4 6 6" xfId="11467"/>
    <cellStyle name="20% - Accent2 4 7" xfId="346"/>
    <cellStyle name="20% - Accent2 4 7 2" xfId="6427"/>
    <cellStyle name="20% - Accent2 4 7 2 2" xfId="14709"/>
    <cellStyle name="20% - Accent2 4 7 3" xfId="8921"/>
    <cellStyle name="20% - Accent2 4 7 3 2" xfId="17199"/>
    <cellStyle name="20% - Accent2 4 7 4" xfId="3143"/>
    <cellStyle name="20% - Accent2 4 7 5" xfId="11469"/>
    <cellStyle name="20% - Accent2 4 8" xfId="347"/>
    <cellStyle name="20% - Accent2 4 8 2" xfId="6428"/>
    <cellStyle name="20% - Accent2 4 8 2 2" xfId="14710"/>
    <cellStyle name="20% - Accent2 4 8 3" xfId="8922"/>
    <cellStyle name="20% - Accent2 4 8 3 2" xfId="17200"/>
    <cellStyle name="20% - Accent2 4 8 4" xfId="3144"/>
    <cellStyle name="20% - Accent2 4 8 5" xfId="11470"/>
    <cellStyle name="20% - Accent2 4 9" xfId="3145"/>
    <cellStyle name="20% - Accent2 4 9 2" xfId="11471"/>
    <cellStyle name="20% - Accent2 5" xfId="348"/>
    <cellStyle name="20% - Accent2 5 10" xfId="3146"/>
    <cellStyle name="20% - Accent2 5 11" xfId="11472"/>
    <cellStyle name="20% - Accent2 5 2" xfId="349"/>
    <cellStyle name="20% - Accent2 5 2 2" xfId="350"/>
    <cellStyle name="20% - Accent2 5 2 2 2" xfId="6431"/>
    <cellStyle name="20% - Accent2 5 2 2 2 2" xfId="14713"/>
    <cellStyle name="20% - Accent2 5 2 2 3" xfId="8925"/>
    <cellStyle name="20% - Accent2 5 2 2 3 2" xfId="17203"/>
    <cellStyle name="20% - Accent2 5 2 2 4" xfId="3148"/>
    <cellStyle name="20% - Accent2 5 2 2 5" xfId="11474"/>
    <cellStyle name="20% - Accent2 5 2 3" xfId="6430"/>
    <cellStyle name="20% - Accent2 5 2 3 2" xfId="14712"/>
    <cellStyle name="20% - Accent2 5 2 4" xfId="8924"/>
    <cellStyle name="20% - Accent2 5 2 4 2" xfId="17202"/>
    <cellStyle name="20% - Accent2 5 2 5" xfId="3147"/>
    <cellStyle name="20% - Accent2 5 2 6" xfId="11473"/>
    <cellStyle name="20% - Accent2 5 3" xfId="351"/>
    <cellStyle name="20% - Accent2 5 3 2" xfId="352"/>
    <cellStyle name="20% - Accent2 5 3 2 2" xfId="6433"/>
    <cellStyle name="20% - Accent2 5 3 2 2 2" xfId="14715"/>
    <cellStyle name="20% - Accent2 5 3 2 3" xfId="8927"/>
    <cellStyle name="20% - Accent2 5 3 2 3 2" xfId="17205"/>
    <cellStyle name="20% - Accent2 5 3 2 4" xfId="3150"/>
    <cellStyle name="20% - Accent2 5 3 2 5" xfId="11476"/>
    <cellStyle name="20% - Accent2 5 3 3" xfId="6432"/>
    <cellStyle name="20% - Accent2 5 3 3 2" xfId="14714"/>
    <cellStyle name="20% - Accent2 5 3 4" xfId="8926"/>
    <cellStyle name="20% - Accent2 5 3 4 2" xfId="17204"/>
    <cellStyle name="20% - Accent2 5 3 5" xfId="3149"/>
    <cellStyle name="20% - Accent2 5 3 6" xfId="11475"/>
    <cellStyle name="20% - Accent2 5 4" xfId="353"/>
    <cellStyle name="20% - Accent2 5 4 2" xfId="6434"/>
    <cellStyle name="20% - Accent2 5 4 2 2" xfId="14716"/>
    <cellStyle name="20% - Accent2 5 4 3" xfId="8928"/>
    <cellStyle name="20% - Accent2 5 4 3 2" xfId="17206"/>
    <cellStyle name="20% - Accent2 5 4 4" xfId="3151"/>
    <cellStyle name="20% - Accent2 5 4 5" xfId="11477"/>
    <cellStyle name="20% - Accent2 5 5" xfId="354"/>
    <cellStyle name="20% - Accent2 5 5 2" xfId="6435"/>
    <cellStyle name="20% - Accent2 5 5 2 2" xfId="14717"/>
    <cellStyle name="20% - Accent2 5 5 3" xfId="8929"/>
    <cellStyle name="20% - Accent2 5 5 3 2" xfId="17207"/>
    <cellStyle name="20% - Accent2 5 5 4" xfId="3152"/>
    <cellStyle name="20% - Accent2 5 5 5" xfId="11478"/>
    <cellStyle name="20% - Accent2 5 6" xfId="3153"/>
    <cellStyle name="20% - Accent2 5 6 2" xfId="11479"/>
    <cellStyle name="20% - Accent2 5 7" xfId="5742"/>
    <cellStyle name="20% - Accent2 5 7 2" xfId="14027"/>
    <cellStyle name="20% - Accent2 5 8" xfId="6429"/>
    <cellStyle name="20% - Accent2 5 8 2" xfId="14711"/>
    <cellStyle name="20% - Accent2 5 9" xfId="8923"/>
    <cellStyle name="20% - Accent2 5 9 2" xfId="17201"/>
    <cellStyle name="20% - Accent2 6" xfId="355"/>
    <cellStyle name="20% - Accent2 6 10" xfId="3154"/>
    <cellStyle name="20% - Accent2 6 11" xfId="11480"/>
    <cellStyle name="20% - Accent2 6 2" xfId="356"/>
    <cellStyle name="20% - Accent2 6 2 2" xfId="357"/>
    <cellStyle name="20% - Accent2 6 2 2 2" xfId="6438"/>
    <cellStyle name="20% - Accent2 6 2 2 2 2" xfId="14720"/>
    <cellStyle name="20% - Accent2 6 2 2 3" xfId="8932"/>
    <cellStyle name="20% - Accent2 6 2 2 3 2" xfId="17210"/>
    <cellStyle name="20% - Accent2 6 2 2 4" xfId="3156"/>
    <cellStyle name="20% - Accent2 6 2 2 5" xfId="11482"/>
    <cellStyle name="20% - Accent2 6 2 3" xfId="6437"/>
    <cellStyle name="20% - Accent2 6 2 3 2" xfId="14719"/>
    <cellStyle name="20% - Accent2 6 2 4" xfId="8931"/>
    <cellStyle name="20% - Accent2 6 2 4 2" xfId="17209"/>
    <cellStyle name="20% - Accent2 6 2 5" xfId="3155"/>
    <cellStyle name="20% - Accent2 6 2 6" xfId="11481"/>
    <cellStyle name="20% - Accent2 6 3" xfId="358"/>
    <cellStyle name="20% - Accent2 6 3 2" xfId="359"/>
    <cellStyle name="20% - Accent2 6 3 2 2" xfId="6440"/>
    <cellStyle name="20% - Accent2 6 3 2 2 2" xfId="14722"/>
    <cellStyle name="20% - Accent2 6 3 2 3" xfId="8934"/>
    <cellStyle name="20% - Accent2 6 3 2 3 2" xfId="17212"/>
    <cellStyle name="20% - Accent2 6 3 2 4" xfId="3158"/>
    <cellStyle name="20% - Accent2 6 3 2 5" xfId="11484"/>
    <cellStyle name="20% - Accent2 6 3 3" xfId="6439"/>
    <cellStyle name="20% - Accent2 6 3 3 2" xfId="14721"/>
    <cellStyle name="20% - Accent2 6 3 4" xfId="8933"/>
    <cellStyle name="20% - Accent2 6 3 4 2" xfId="17211"/>
    <cellStyle name="20% - Accent2 6 3 5" xfId="3157"/>
    <cellStyle name="20% - Accent2 6 3 6" xfId="11483"/>
    <cellStyle name="20% - Accent2 6 4" xfId="360"/>
    <cellStyle name="20% - Accent2 6 4 2" xfId="6441"/>
    <cellStyle name="20% - Accent2 6 4 2 2" xfId="14723"/>
    <cellStyle name="20% - Accent2 6 4 3" xfId="8935"/>
    <cellStyle name="20% - Accent2 6 4 3 2" xfId="17213"/>
    <cellStyle name="20% - Accent2 6 4 4" xfId="3159"/>
    <cellStyle name="20% - Accent2 6 4 5" xfId="11485"/>
    <cellStyle name="20% - Accent2 6 5" xfId="361"/>
    <cellStyle name="20% - Accent2 6 5 2" xfId="6442"/>
    <cellStyle name="20% - Accent2 6 5 2 2" xfId="14724"/>
    <cellStyle name="20% - Accent2 6 5 3" xfId="8936"/>
    <cellStyle name="20% - Accent2 6 5 3 2" xfId="17214"/>
    <cellStyle name="20% - Accent2 6 5 4" xfId="3160"/>
    <cellStyle name="20% - Accent2 6 5 5" xfId="11486"/>
    <cellStyle name="20% - Accent2 6 6" xfId="3161"/>
    <cellStyle name="20% - Accent2 6 6 2" xfId="11487"/>
    <cellStyle name="20% - Accent2 6 7" xfId="5831"/>
    <cellStyle name="20% - Accent2 6 7 2" xfId="14113"/>
    <cellStyle name="20% - Accent2 6 8" xfId="6436"/>
    <cellStyle name="20% - Accent2 6 8 2" xfId="14718"/>
    <cellStyle name="20% - Accent2 6 9" xfId="8930"/>
    <cellStyle name="20% - Accent2 6 9 2" xfId="17208"/>
    <cellStyle name="20% - Accent2 7" xfId="362"/>
    <cellStyle name="20% - Accent2 7 10" xfId="3162"/>
    <cellStyle name="20% - Accent2 7 11" xfId="11488"/>
    <cellStyle name="20% - Accent2 7 2" xfId="363"/>
    <cellStyle name="20% - Accent2 7 2 2" xfId="364"/>
    <cellStyle name="20% - Accent2 7 2 2 2" xfId="6445"/>
    <cellStyle name="20% - Accent2 7 2 2 2 2" xfId="14727"/>
    <cellStyle name="20% - Accent2 7 2 2 3" xfId="8939"/>
    <cellStyle name="20% - Accent2 7 2 2 3 2" xfId="17217"/>
    <cellStyle name="20% - Accent2 7 2 2 4" xfId="3164"/>
    <cellStyle name="20% - Accent2 7 2 2 5" xfId="11490"/>
    <cellStyle name="20% - Accent2 7 2 3" xfId="6444"/>
    <cellStyle name="20% - Accent2 7 2 3 2" xfId="14726"/>
    <cellStyle name="20% - Accent2 7 2 4" xfId="8938"/>
    <cellStyle name="20% - Accent2 7 2 4 2" xfId="17216"/>
    <cellStyle name="20% - Accent2 7 2 5" xfId="3163"/>
    <cellStyle name="20% - Accent2 7 2 6" xfId="11489"/>
    <cellStyle name="20% - Accent2 7 3" xfId="365"/>
    <cellStyle name="20% - Accent2 7 3 2" xfId="366"/>
    <cellStyle name="20% - Accent2 7 3 2 2" xfId="6447"/>
    <cellStyle name="20% - Accent2 7 3 2 2 2" xfId="14729"/>
    <cellStyle name="20% - Accent2 7 3 2 3" xfId="8941"/>
    <cellStyle name="20% - Accent2 7 3 2 3 2" xfId="17219"/>
    <cellStyle name="20% - Accent2 7 3 2 4" xfId="3166"/>
    <cellStyle name="20% - Accent2 7 3 2 5" xfId="11492"/>
    <cellStyle name="20% - Accent2 7 3 3" xfId="6446"/>
    <cellStyle name="20% - Accent2 7 3 3 2" xfId="14728"/>
    <cellStyle name="20% - Accent2 7 3 4" xfId="8940"/>
    <cellStyle name="20% - Accent2 7 3 4 2" xfId="17218"/>
    <cellStyle name="20% - Accent2 7 3 5" xfId="3165"/>
    <cellStyle name="20% - Accent2 7 3 6" xfId="11491"/>
    <cellStyle name="20% - Accent2 7 4" xfId="367"/>
    <cellStyle name="20% - Accent2 7 4 2" xfId="6448"/>
    <cellStyle name="20% - Accent2 7 4 2 2" xfId="14730"/>
    <cellStyle name="20% - Accent2 7 4 3" xfId="8942"/>
    <cellStyle name="20% - Accent2 7 4 3 2" xfId="17220"/>
    <cellStyle name="20% - Accent2 7 4 4" xfId="3167"/>
    <cellStyle name="20% - Accent2 7 4 5" xfId="11493"/>
    <cellStyle name="20% - Accent2 7 5" xfId="368"/>
    <cellStyle name="20% - Accent2 7 5 2" xfId="6449"/>
    <cellStyle name="20% - Accent2 7 5 2 2" xfId="14731"/>
    <cellStyle name="20% - Accent2 7 5 3" xfId="8943"/>
    <cellStyle name="20% - Accent2 7 5 3 2" xfId="17221"/>
    <cellStyle name="20% - Accent2 7 5 4" xfId="3168"/>
    <cellStyle name="20% - Accent2 7 5 5" xfId="11494"/>
    <cellStyle name="20% - Accent2 7 6" xfId="3169"/>
    <cellStyle name="20% - Accent2 7 6 2" xfId="11495"/>
    <cellStyle name="20% - Accent2 7 7" xfId="5917"/>
    <cellStyle name="20% - Accent2 7 7 2" xfId="14199"/>
    <cellStyle name="20% - Accent2 7 8" xfId="6443"/>
    <cellStyle name="20% - Accent2 7 8 2" xfId="14725"/>
    <cellStyle name="20% - Accent2 7 9" xfId="8937"/>
    <cellStyle name="20% - Accent2 7 9 2" xfId="17215"/>
    <cellStyle name="20% - Accent2 8" xfId="369"/>
    <cellStyle name="20% - Accent2 8 10" xfId="3170"/>
    <cellStyle name="20% - Accent2 8 11" xfId="11496"/>
    <cellStyle name="20% - Accent2 8 2" xfId="370"/>
    <cellStyle name="20% - Accent2 8 2 2" xfId="371"/>
    <cellStyle name="20% - Accent2 8 2 2 2" xfId="6452"/>
    <cellStyle name="20% - Accent2 8 2 2 2 2" xfId="14734"/>
    <cellStyle name="20% - Accent2 8 2 2 3" xfId="8946"/>
    <cellStyle name="20% - Accent2 8 2 2 3 2" xfId="17224"/>
    <cellStyle name="20% - Accent2 8 2 2 4" xfId="3172"/>
    <cellStyle name="20% - Accent2 8 2 2 5" xfId="11498"/>
    <cellStyle name="20% - Accent2 8 2 3" xfId="6451"/>
    <cellStyle name="20% - Accent2 8 2 3 2" xfId="14733"/>
    <cellStyle name="20% - Accent2 8 2 4" xfId="8945"/>
    <cellStyle name="20% - Accent2 8 2 4 2" xfId="17223"/>
    <cellStyle name="20% - Accent2 8 2 5" xfId="3171"/>
    <cellStyle name="20% - Accent2 8 2 6" xfId="11497"/>
    <cellStyle name="20% - Accent2 8 3" xfId="372"/>
    <cellStyle name="20% - Accent2 8 3 2" xfId="373"/>
    <cellStyle name="20% - Accent2 8 3 2 2" xfId="6454"/>
    <cellStyle name="20% - Accent2 8 3 2 2 2" xfId="14736"/>
    <cellStyle name="20% - Accent2 8 3 2 3" xfId="8948"/>
    <cellStyle name="20% - Accent2 8 3 2 3 2" xfId="17226"/>
    <cellStyle name="20% - Accent2 8 3 2 4" xfId="3174"/>
    <cellStyle name="20% - Accent2 8 3 2 5" xfId="11500"/>
    <cellStyle name="20% - Accent2 8 3 3" xfId="6453"/>
    <cellStyle name="20% - Accent2 8 3 3 2" xfId="14735"/>
    <cellStyle name="20% - Accent2 8 3 4" xfId="8947"/>
    <cellStyle name="20% - Accent2 8 3 4 2" xfId="17225"/>
    <cellStyle name="20% - Accent2 8 3 5" xfId="3173"/>
    <cellStyle name="20% - Accent2 8 3 6" xfId="11499"/>
    <cellStyle name="20% - Accent2 8 4" xfId="374"/>
    <cellStyle name="20% - Accent2 8 4 2" xfId="6455"/>
    <cellStyle name="20% - Accent2 8 4 2 2" xfId="14737"/>
    <cellStyle name="20% - Accent2 8 4 3" xfId="8949"/>
    <cellStyle name="20% - Accent2 8 4 3 2" xfId="17227"/>
    <cellStyle name="20% - Accent2 8 4 4" xfId="3175"/>
    <cellStyle name="20% - Accent2 8 4 5" xfId="11501"/>
    <cellStyle name="20% - Accent2 8 5" xfId="375"/>
    <cellStyle name="20% - Accent2 8 5 2" xfId="6456"/>
    <cellStyle name="20% - Accent2 8 5 2 2" xfId="14738"/>
    <cellStyle name="20% - Accent2 8 5 3" xfId="8950"/>
    <cellStyle name="20% - Accent2 8 5 3 2" xfId="17228"/>
    <cellStyle name="20% - Accent2 8 5 4" xfId="3176"/>
    <cellStyle name="20% - Accent2 8 5 5" xfId="11502"/>
    <cellStyle name="20% - Accent2 8 6" xfId="3177"/>
    <cellStyle name="20% - Accent2 8 6 2" xfId="11503"/>
    <cellStyle name="20% - Accent2 8 7" xfId="5929"/>
    <cellStyle name="20% - Accent2 8 7 2" xfId="14211"/>
    <cellStyle name="20% - Accent2 8 8" xfId="6450"/>
    <cellStyle name="20% - Accent2 8 8 2" xfId="14732"/>
    <cellStyle name="20% - Accent2 8 9" xfId="8944"/>
    <cellStyle name="20% - Accent2 8 9 2" xfId="17222"/>
    <cellStyle name="20% - Accent2 9" xfId="376"/>
    <cellStyle name="20% - Accent2 9 10" xfId="3178"/>
    <cellStyle name="20% - Accent2 9 11" xfId="11504"/>
    <cellStyle name="20% - Accent2 9 2" xfId="377"/>
    <cellStyle name="20% - Accent2 9 2 2" xfId="378"/>
    <cellStyle name="20% - Accent2 9 2 2 2" xfId="6459"/>
    <cellStyle name="20% - Accent2 9 2 2 2 2" xfId="14741"/>
    <cellStyle name="20% - Accent2 9 2 2 3" xfId="8953"/>
    <cellStyle name="20% - Accent2 9 2 2 3 2" xfId="17231"/>
    <cellStyle name="20% - Accent2 9 2 2 4" xfId="3180"/>
    <cellStyle name="20% - Accent2 9 2 2 5" xfId="11506"/>
    <cellStyle name="20% - Accent2 9 2 3" xfId="6458"/>
    <cellStyle name="20% - Accent2 9 2 3 2" xfId="14740"/>
    <cellStyle name="20% - Accent2 9 2 4" xfId="8952"/>
    <cellStyle name="20% - Accent2 9 2 4 2" xfId="17230"/>
    <cellStyle name="20% - Accent2 9 2 5" xfId="3179"/>
    <cellStyle name="20% - Accent2 9 2 6" xfId="11505"/>
    <cellStyle name="20% - Accent2 9 3" xfId="379"/>
    <cellStyle name="20% - Accent2 9 3 2" xfId="380"/>
    <cellStyle name="20% - Accent2 9 3 2 2" xfId="6461"/>
    <cellStyle name="20% - Accent2 9 3 2 2 2" xfId="14743"/>
    <cellStyle name="20% - Accent2 9 3 2 3" xfId="8955"/>
    <cellStyle name="20% - Accent2 9 3 2 3 2" xfId="17233"/>
    <cellStyle name="20% - Accent2 9 3 2 4" xfId="3182"/>
    <cellStyle name="20% - Accent2 9 3 2 5" xfId="11508"/>
    <cellStyle name="20% - Accent2 9 3 3" xfId="6460"/>
    <cellStyle name="20% - Accent2 9 3 3 2" xfId="14742"/>
    <cellStyle name="20% - Accent2 9 3 4" xfId="8954"/>
    <cellStyle name="20% - Accent2 9 3 4 2" xfId="17232"/>
    <cellStyle name="20% - Accent2 9 3 5" xfId="3181"/>
    <cellStyle name="20% - Accent2 9 3 6" xfId="11507"/>
    <cellStyle name="20% - Accent2 9 4" xfId="381"/>
    <cellStyle name="20% - Accent2 9 4 2" xfId="6462"/>
    <cellStyle name="20% - Accent2 9 4 2 2" xfId="14744"/>
    <cellStyle name="20% - Accent2 9 4 3" xfId="8956"/>
    <cellStyle name="20% - Accent2 9 4 3 2" xfId="17234"/>
    <cellStyle name="20% - Accent2 9 4 4" xfId="3183"/>
    <cellStyle name="20% - Accent2 9 4 5" xfId="11509"/>
    <cellStyle name="20% - Accent2 9 5" xfId="382"/>
    <cellStyle name="20% - Accent2 9 5 2" xfId="6463"/>
    <cellStyle name="20% - Accent2 9 5 2 2" xfId="14745"/>
    <cellStyle name="20% - Accent2 9 5 3" xfId="8957"/>
    <cellStyle name="20% - Accent2 9 5 3 2" xfId="17235"/>
    <cellStyle name="20% - Accent2 9 5 4" xfId="3184"/>
    <cellStyle name="20% - Accent2 9 5 5" xfId="11510"/>
    <cellStyle name="20% - Accent2 9 6" xfId="3185"/>
    <cellStyle name="20% - Accent2 9 6 2" xfId="11511"/>
    <cellStyle name="20% - Accent2 9 7" xfId="6015"/>
    <cellStyle name="20% - Accent2 9 7 2" xfId="14297"/>
    <cellStyle name="20% - Accent2 9 8" xfId="6457"/>
    <cellStyle name="20% - Accent2 9 8 2" xfId="14739"/>
    <cellStyle name="20% - Accent2 9 9" xfId="8951"/>
    <cellStyle name="20% - Accent2 9 9 2" xfId="17229"/>
    <cellStyle name="20% - Accent3" xfId="383" builtinId="38" customBuiltin="1"/>
    <cellStyle name="20% - Accent3 10" xfId="384"/>
    <cellStyle name="20% - Accent3 10 10" xfId="3187"/>
    <cellStyle name="20% - Accent3 10 11" xfId="11513"/>
    <cellStyle name="20% - Accent3 10 2" xfId="385"/>
    <cellStyle name="20% - Accent3 10 2 2" xfId="386"/>
    <cellStyle name="20% - Accent3 10 2 2 2" xfId="6467"/>
    <cellStyle name="20% - Accent3 10 2 2 2 2" xfId="14749"/>
    <cellStyle name="20% - Accent3 10 2 2 3" xfId="8961"/>
    <cellStyle name="20% - Accent3 10 2 2 3 2" xfId="17239"/>
    <cellStyle name="20% - Accent3 10 2 2 4" xfId="3189"/>
    <cellStyle name="20% - Accent3 10 2 2 5" xfId="11515"/>
    <cellStyle name="20% - Accent3 10 2 3" xfId="6466"/>
    <cellStyle name="20% - Accent3 10 2 3 2" xfId="14748"/>
    <cellStyle name="20% - Accent3 10 2 4" xfId="8960"/>
    <cellStyle name="20% - Accent3 10 2 4 2" xfId="17238"/>
    <cellStyle name="20% - Accent3 10 2 5" xfId="3188"/>
    <cellStyle name="20% - Accent3 10 2 6" xfId="11514"/>
    <cellStyle name="20% - Accent3 10 3" xfId="387"/>
    <cellStyle name="20% - Accent3 10 3 2" xfId="388"/>
    <cellStyle name="20% - Accent3 10 3 2 2" xfId="6469"/>
    <cellStyle name="20% - Accent3 10 3 2 2 2" xfId="14751"/>
    <cellStyle name="20% - Accent3 10 3 2 3" xfId="8963"/>
    <cellStyle name="20% - Accent3 10 3 2 3 2" xfId="17241"/>
    <cellStyle name="20% - Accent3 10 3 2 4" xfId="3191"/>
    <cellStyle name="20% - Accent3 10 3 2 5" xfId="11517"/>
    <cellStyle name="20% - Accent3 10 3 3" xfId="6468"/>
    <cellStyle name="20% - Accent3 10 3 3 2" xfId="14750"/>
    <cellStyle name="20% - Accent3 10 3 4" xfId="8962"/>
    <cellStyle name="20% - Accent3 10 3 4 2" xfId="17240"/>
    <cellStyle name="20% - Accent3 10 3 5" xfId="3190"/>
    <cellStyle name="20% - Accent3 10 3 6" xfId="11516"/>
    <cellStyle name="20% - Accent3 10 4" xfId="389"/>
    <cellStyle name="20% - Accent3 10 4 2" xfId="6470"/>
    <cellStyle name="20% - Accent3 10 4 2 2" xfId="14752"/>
    <cellStyle name="20% - Accent3 10 4 3" xfId="8964"/>
    <cellStyle name="20% - Accent3 10 4 3 2" xfId="17242"/>
    <cellStyle name="20% - Accent3 10 4 4" xfId="3192"/>
    <cellStyle name="20% - Accent3 10 4 5" xfId="11518"/>
    <cellStyle name="20% - Accent3 10 5" xfId="390"/>
    <cellStyle name="20% - Accent3 10 5 2" xfId="6471"/>
    <cellStyle name="20% - Accent3 10 5 2 2" xfId="14753"/>
    <cellStyle name="20% - Accent3 10 5 3" xfId="8965"/>
    <cellStyle name="20% - Accent3 10 5 3 2" xfId="17243"/>
    <cellStyle name="20% - Accent3 10 5 4" xfId="3193"/>
    <cellStyle name="20% - Accent3 10 5 5" xfId="11519"/>
    <cellStyle name="20% - Accent3 10 6" xfId="3194"/>
    <cellStyle name="20% - Accent3 10 6 2" xfId="11520"/>
    <cellStyle name="20% - Accent3 10 7" xfId="6031"/>
    <cellStyle name="20% - Accent3 10 7 2" xfId="14313"/>
    <cellStyle name="20% - Accent3 10 8" xfId="6465"/>
    <cellStyle name="20% - Accent3 10 8 2" xfId="14747"/>
    <cellStyle name="20% - Accent3 10 9" xfId="8959"/>
    <cellStyle name="20% - Accent3 10 9 2" xfId="17237"/>
    <cellStyle name="20% - Accent3 11" xfId="391"/>
    <cellStyle name="20% - Accent3 11 10" xfId="11521"/>
    <cellStyle name="20% - Accent3 11 2" xfId="392"/>
    <cellStyle name="20% - Accent3 11 2 2" xfId="393"/>
    <cellStyle name="20% - Accent3 11 2 2 2" xfId="6474"/>
    <cellStyle name="20% - Accent3 11 2 2 2 2" xfId="14756"/>
    <cellStyle name="20% - Accent3 11 2 2 3" xfId="8968"/>
    <cellStyle name="20% - Accent3 11 2 2 3 2" xfId="17246"/>
    <cellStyle name="20% - Accent3 11 2 2 4" xfId="3197"/>
    <cellStyle name="20% - Accent3 11 2 2 5" xfId="11523"/>
    <cellStyle name="20% - Accent3 11 2 3" xfId="6473"/>
    <cellStyle name="20% - Accent3 11 2 3 2" xfId="14755"/>
    <cellStyle name="20% - Accent3 11 2 4" xfId="8967"/>
    <cellStyle name="20% - Accent3 11 2 4 2" xfId="17245"/>
    <cellStyle name="20% - Accent3 11 2 5" xfId="3196"/>
    <cellStyle name="20% - Accent3 11 2 6" xfId="11522"/>
    <cellStyle name="20% - Accent3 11 3" xfId="394"/>
    <cellStyle name="20% - Accent3 11 3 2" xfId="6475"/>
    <cellStyle name="20% - Accent3 11 3 2 2" xfId="14757"/>
    <cellStyle name="20% - Accent3 11 3 3" xfId="8969"/>
    <cellStyle name="20% - Accent3 11 3 3 2" xfId="17247"/>
    <cellStyle name="20% - Accent3 11 3 4" xfId="3198"/>
    <cellStyle name="20% - Accent3 11 3 5" xfId="11524"/>
    <cellStyle name="20% - Accent3 11 4" xfId="395"/>
    <cellStyle name="20% - Accent3 11 4 2" xfId="6476"/>
    <cellStyle name="20% - Accent3 11 4 2 2" xfId="14758"/>
    <cellStyle name="20% - Accent3 11 4 3" xfId="8970"/>
    <cellStyle name="20% - Accent3 11 4 3 2" xfId="17248"/>
    <cellStyle name="20% - Accent3 11 4 4" xfId="3199"/>
    <cellStyle name="20% - Accent3 11 4 5" xfId="11525"/>
    <cellStyle name="20% - Accent3 11 5" xfId="3200"/>
    <cellStyle name="20% - Accent3 11 5 2" xfId="11526"/>
    <cellStyle name="20% - Accent3 11 6" xfId="5713"/>
    <cellStyle name="20% - Accent3 11 6 2" xfId="13999"/>
    <cellStyle name="20% - Accent3 11 7" xfId="6472"/>
    <cellStyle name="20% - Accent3 11 7 2" xfId="14754"/>
    <cellStyle name="20% - Accent3 11 8" xfId="8966"/>
    <cellStyle name="20% - Accent3 11 8 2" xfId="17244"/>
    <cellStyle name="20% - Accent3 11 9" xfId="3195"/>
    <cellStyle name="20% - Accent3 12" xfId="396"/>
    <cellStyle name="20% - Accent3 12 2" xfId="397"/>
    <cellStyle name="20% - Accent3 12 2 2" xfId="6478"/>
    <cellStyle name="20% - Accent3 12 2 2 2" xfId="14760"/>
    <cellStyle name="20% - Accent3 12 2 3" xfId="8972"/>
    <cellStyle name="20% - Accent3 12 2 3 2" xfId="17250"/>
    <cellStyle name="20% - Accent3 12 2 4" xfId="3202"/>
    <cellStyle name="20% - Accent3 12 2 5" xfId="11528"/>
    <cellStyle name="20% - Accent3 12 3" xfId="3203"/>
    <cellStyle name="20% - Accent3 12 3 2" xfId="11529"/>
    <cellStyle name="20% - Accent3 12 4" xfId="6046"/>
    <cellStyle name="20% - Accent3 12 4 2" xfId="14328"/>
    <cellStyle name="20% - Accent3 12 5" xfId="6477"/>
    <cellStyle name="20% - Accent3 12 5 2" xfId="14759"/>
    <cellStyle name="20% - Accent3 12 6" xfId="8971"/>
    <cellStyle name="20% - Accent3 12 6 2" xfId="17249"/>
    <cellStyle name="20% - Accent3 12 7" xfId="3201"/>
    <cellStyle name="20% - Accent3 12 8" xfId="11527"/>
    <cellStyle name="20% - Accent3 13" xfId="398"/>
    <cellStyle name="20% - Accent3 13 2" xfId="399"/>
    <cellStyle name="20% - Accent3 13 2 2" xfId="6480"/>
    <cellStyle name="20% - Accent3 13 2 2 2" xfId="14762"/>
    <cellStyle name="20% - Accent3 13 2 3" xfId="8974"/>
    <cellStyle name="20% - Accent3 13 2 3 2" xfId="17252"/>
    <cellStyle name="20% - Accent3 13 2 4" xfId="3205"/>
    <cellStyle name="20% - Accent3 13 2 5" xfId="11531"/>
    <cellStyle name="20% - Accent3 13 3" xfId="3206"/>
    <cellStyle name="20% - Accent3 13 3 2" xfId="11532"/>
    <cellStyle name="20% - Accent3 13 4" xfId="6060"/>
    <cellStyle name="20% - Accent3 13 4 2" xfId="14342"/>
    <cellStyle name="20% - Accent3 13 5" xfId="6479"/>
    <cellStyle name="20% - Accent3 13 5 2" xfId="14761"/>
    <cellStyle name="20% - Accent3 13 6" xfId="8973"/>
    <cellStyle name="20% - Accent3 13 6 2" xfId="17251"/>
    <cellStyle name="20% - Accent3 13 7" xfId="3204"/>
    <cellStyle name="20% - Accent3 13 8" xfId="11530"/>
    <cellStyle name="20% - Accent3 14" xfId="400"/>
    <cellStyle name="20% - Accent3 14 2" xfId="3208"/>
    <cellStyle name="20% - Accent3 14 2 2" xfId="11534"/>
    <cellStyle name="20% - Accent3 14 3" xfId="6074"/>
    <cellStyle name="20% - Accent3 14 3 2" xfId="14356"/>
    <cellStyle name="20% - Accent3 14 4" xfId="6481"/>
    <cellStyle name="20% - Accent3 14 4 2" xfId="14763"/>
    <cellStyle name="20% - Accent3 14 5" xfId="8975"/>
    <cellStyle name="20% - Accent3 14 5 2" xfId="17253"/>
    <cellStyle name="20% - Accent3 14 6" xfId="3207"/>
    <cellStyle name="20% - Accent3 14 7" xfId="11533"/>
    <cellStyle name="20% - Accent3 15" xfId="401"/>
    <cellStyle name="20% - Accent3 15 2" xfId="6482"/>
    <cellStyle name="20% - Accent3 15 2 2" xfId="14764"/>
    <cellStyle name="20% - Accent3 15 3" xfId="8976"/>
    <cellStyle name="20% - Accent3 15 3 2" xfId="17254"/>
    <cellStyle name="20% - Accent3 15 4" xfId="3209"/>
    <cellStyle name="20% - Accent3 15 5" xfId="11535"/>
    <cellStyle name="20% - Accent3 16" xfId="3210"/>
    <cellStyle name="20% - Accent3 16 2" xfId="11536"/>
    <cellStyle name="20% - Accent3 17" xfId="5627"/>
    <cellStyle name="20% - Accent3 17 2" xfId="13917"/>
    <cellStyle name="20% - Accent3 18" xfId="6464"/>
    <cellStyle name="20% - Accent3 18 2" xfId="14746"/>
    <cellStyle name="20% - Accent3 19" xfId="8958"/>
    <cellStyle name="20% - Accent3 19 2" xfId="17236"/>
    <cellStyle name="20% - Accent3 2" xfId="402"/>
    <cellStyle name="20% - Accent3 2 10" xfId="403"/>
    <cellStyle name="20% - Accent3 2 10 2" xfId="6484"/>
    <cellStyle name="20% - Accent3 2 10 2 2" xfId="14766"/>
    <cellStyle name="20% - Accent3 2 10 3" xfId="8978"/>
    <cellStyle name="20% - Accent3 2 10 3 2" xfId="17256"/>
    <cellStyle name="20% - Accent3 2 10 4" xfId="3212"/>
    <cellStyle name="20% - Accent3 2 10 5" xfId="11538"/>
    <cellStyle name="20% - Accent3 2 11" xfId="404"/>
    <cellStyle name="20% - Accent3 2 11 2" xfId="6485"/>
    <cellStyle name="20% - Accent3 2 11 2 2" xfId="14767"/>
    <cellStyle name="20% - Accent3 2 11 3" xfId="8979"/>
    <cellStyle name="20% - Accent3 2 11 3 2" xfId="17257"/>
    <cellStyle name="20% - Accent3 2 11 4" xfId="3213"/>
    <cellStyle name="20% - Accent3 2 11 5" xfId="11539"/>
    <cellStyle name="20% - Accent3 2 12" xfId="3214"/>
    <cellStyle name="20% - Accent3 2 12 2" xfId="11540"/>
    <cellStyle name="20% - Accent3 2 13" xfId="5640"/>
    <cellStyle name="20% - Accent3 2 13 2" xfId="13929"/>
    <cellStyle name="20% - Accent3 2 14" xfId="6483"/>
    <cellStyle name="20% - Accent3 2 14 2" xfId="14765"/>
    <cellStyle name="20% - Accent3 2 15" xfId="8977"/>
    <cellStyle name="20% - Accent3 2 15 2" xfId="17255"/>
    <cellStyle name="20% - Accent3 2 16" xfId="3211"/>
    <cellStyle name="20% - Accent3 2 17" xfId="11537"/>
    <cellStyle name="20% - Accent3 2 2" xfId="405"/>
    <cellStyle name="20% - Accent3 2 2 10" xfId="5675"/>
    <cellStyle name="20% - Accent3 2 2 10 2" xfId="13961"/>
    <cellStyle name="20% - Accent3 2 2 11" xfId="6486"/>
    <cellStyle name="20% - Accent3 2 2 11 2" xfId="14768"/>
    <cellStyle name="20% - Accent3 2 2 12" xfId="8980"/>
    <cellStyle name="20% - Accent3 2 2 12 2" xfId="17258"/>
    <cellStyle name="20% - Accent3 2 2 13" xfId="3215"/>
    <cellStyle name="20% - Accent3 2 2 14" xfId="11541"/>
    <cellStyle name="20% - Accent3 2 2 2" xfId="406"/>
    <cellStyle name="20% - Accent3 2 2 2 10" xfId="3216"/>
    <cellStyle name="20% - Accent3 2 2 2 11" xfId="11542"/>
    <cellStyle name="20% - Accent3 2 2 2 2" xfId="407"/>
    <cellStyle name="20% - Accent3 2 2 2 2 2" xfId="408"/>
    <cellStyle name="20% - Accent3 2 2 2 2 2 2" xfId="6489"/>
    <cellStyle name="20% - Accent3 2 2 2 2 2 2 2" xfId="14771"/>
    <cellStyle name="20% - Accent3 2 2 2 2 2 3" xfId="8983"/>
    <cellStyle name="20% - Accent3 2 2 2 2 2 3 2" xfId="17261"/>
    <cellStyle name="20% - Accent3 2 2 2 2 2 4" xfId="3218"/>
    <cellStyle name="20% - Accent3 2 2 2 2 2 5" xfId="11544"/>
    <cellStyle name="20% - Accent3 2 2 2 2 3" xfId="6488"/>
    <cellStyle name="20% - Accent3 2 2 2 2 3 2" xfId="14770"/>
    <cellStyle name="20% - Accent3 2 2 2 2 4" xfId="8982"/>
    <cellStyle name="20% - Accent3 2 2 2 2 4 2" xfId="17260"/>
    <cellStyle name="20% - Accent3 2 2 2 2 5" xfId="3217"/>
    <cellStyle name="20% - Accent3 2 2 2 2 6" xfId="11543"/>
    <cellStyle name="20% - Accent3 2 2 2 3" xfId="409"/>
    <cellStyle name="20% - Accent3 2 2 2 3 2" xfId="410"/>
    <cellStyle name="20% - Accent3 2 2 2 3 2 2" xfId="6491"/>
    <cellStyle name="20% - Accent3 2 2 2 3 2 2 2" xfId="14773"/>
    <cellStyle name="20% - Accent3 2 2 2 3 2 3" xfId="8985"/>
    <cellStyle name="20% - Accent3 2 2 2 3 2 3 2" xfId="17263"/>
    <cellStyle name="20% - Accent3 2 2 2 3 2 4" xfId="3220"/>
    <cellStyle name="20% - Accent3 2 2 2 3 2 5" xfId="11546"/>
    <cellStyle name="20% - Accent3 2 2 2 3 3" xfId="6490"/>
    <cellStyle name="20% - Accent3 2 2 2 3 3 2" xfId="14772"/>
    <cellStyle name="20% - Accent3 2 2 2 3 4" xfId="8984"/>
    <cellStyle name="20% - Accent3 2 2 2 3 4 2" xfId="17262"/>
    <cellStyle name="20% - Accent3 2 2 2 3 5" xfId="3219"/>
    <cellStyle name="20% - Accent3 2 2 2 3 6" xfId="11545"/>
    <cellStyle name="20% - Accent3 2 2 2 4" xfId="411"/>
    <cellStyle name="20% - Accent3 2 2 2 4 2" xfId="6492"/>
    <cellStyle name="20% - Accent3 2 2 2 4 2 2" xfId="14774"/>
    <cellStyle name="20% - Accent3 2 2 2 4 3" xfId="8986"/>
    <cellStyle name="20% - Accent3 2 2 2 4 3 2" xfId="17264"/>
    <cellStyle name="20% - Accent3 2 2 2 4 4" xfId="3221"/>
    <cellStyle name="20% - Accent3 2 2 2 4 5" xfId="11547"/>
    <cellStyle name="20% - Accent3 2 2 2 5" xfId="412"/>
    <cellStyle name="20% - Accent3 2 2 2 5 2" xfId="6493"/>
    <cellStyle name="20% - Accent3 2 2 2 5 2 2" xfId="14775"/>
    <cellStyle name="20% - Accent3 2 2 2 5 3" xfId="8987"/>
    <cellStyle name="20% - Accent3 2 2 2 5 3 2" xfId="17265"/>
    <cellStyle name="20% - Accent3 2 2 2 5 4" xfId="3222"/>
    <cellStyle name="20% - Accent3 2 2 2 5 5" xfId="11548"/>
    <cellStyle name="20% - Accent3 2 2 2 6" xfId="3223"/>
    <cellStyle name="20% - Accent3 2 2 2 6 2" xfId="11549"/>
    <cellStyle name="20% - Accent3 2 2 2 7" xfId="5877"/>
    <cellStyle name="20% - Accent3 2 2 2 7 2" xfId="14159"/>
    <cellStyle name="20% - Accent3 2 2 2 8" xfId="6487"/>
    <cellStyle name="20% - Accent3 2 2 2 8 2" xfId="14769"/>
    <cellStyle name="20% - Accent3 2 2 2 9" xfId="8981"/>
    <cellStyle name="20% - Accent3 2 2 2 9 2" xfId="17259"/>
    <cellStyle name="20% - Accent3 2 2 3" xfId="413"/>
    <cellStyle name="20% - Accent3 2 2 3 10" xfId="3224"/>
    <cellStyle name="20% - Accent3 2 2 3 11" xfId="11550"/>
    <cellStyle name="20% - Accent3 2 2 3 2" xfId="414"/>
    <cellStyle name="20% - Accent3 2 2 3 2 2" xfId="415"/>
    <cellStyle name="20% - Accent3 2 2 3 2 2 2" xfId="6496"/>
    <cellStyle name="20% - Accent3 2 2 3 2 2 2 2" xfId="14778"/>
    <cellStyle name="20% - Accent3 2 2 3 2 2 3" xfId="8990"/>
    <cellStyle name="20% - Accent3 2 2 3 2 2 3 2" xfId="17268"/>
    <cellStyle name="20% - Accent3 2 2 3 2 2 4" xfId="3226"/>
    <cellStyle name="20% - Accent3 2 2 3 2 2 5" xfId="11552"/>
    <cellStyle name="20% - Accent3 2 2 3 2 3" xfId="6495"/>
    <cellStyle name="20% - Accent3 2 2 3 2 3 2" xfId="14777"/>
    <cellStyle name="20% - Accent3 2 2 3 2 4" xfId="8989"/>
    <cellStyle name="20% - Accent3 2 2 3 2 4 2" xfId="17267"/>
    <cellStyle name="20% - Accent3 2 2 3 2 5" xfId="3225"/>
    <cellStyle name="20% - Accent3 2 2 3 2 6" xfId="11551"/>
    <cellStyle name="20% - Accent3 2 2 3 3" xfId="416"/>
    <cellStyle name="20% - Accent3 2 2 3 3 2" xfId="417"/>
    <cellStyle name="20% - Accent3 2 2 3 3 2 2" xfId="6498"/>
    <cellStyle name="20% - Accent3 2 2 3 3 2 2 2" xfId="14780"/>
    <cellStyle name="20% - Accent3 2 2 3 3 2 3" xfId="8992"/>
    <cellStyle name="20% - Accent3 2 2 3 3 2 3 2" xfId="17270"/>
    <cellStyle name="20% - Accent3 2 2 3 3 2 4" xfId="3228"/>
    <cellStyle name="20% - Accent3 2 2 3 3 2 5" xfId="11554"/>
    <cellStyle name="20% - Accent3 2 2 3 3 3" xfId="6497"/>
    <cellStyle name="20% - Accent3 2 2 3 3 3 2" xfId="14779"/>
    <cellStyle name="20% - Accent3 2 2 3 3 4" xfId="8991"/>
    <cellStyle name="20% - Accent3 2 2 3 3 4 2" xfId="17269"/>
    <cellStyle name="20% - Accent3 2 2 3 3 5" xfId="3227"/>
    <cellStyle name="20% - Accent3 2 2 3 3 6" xfId="11553"/>
    <cellStyle name="20% - Accent3 2 2 3 4" xfId="418"/>
    <cellStyle name="20% - Accent3 2 2 3 4 2" xfId="6499"/>
    <cellStyle name="20% - Accent3 2 2 3 4 2 2" xfId="14781"/>
    <cellStyle name="20% - Accent3 2 2 3 4 3" xfId="8993"/>
    <cellStyle name="20% - Accent3 2 2 3 4 3 2" xfId="17271"/>
    <cellStyle name="20% - Accent3 2 2 3 4 4" xfId="3229"/>
    <cellStyle name="20% - Accent3 2 2 3 4 5" xfId="11555"/>
    <cellStyle name="20% - Accent3 2 2 3 5" xfId="419"/>
    <cellStyle name="20% - Accent3 2 2 3 5 2" xfId="6500"/>
    <cellStyle name="20% - Accent3 2 2 3 5 2 2" xfId="14782"/>
    <cellStyle name="20% - Accent3 2 2 3 5 3" xfId="8994"/>
    <cellStyle name="20% - Accent3 2 2 3 5 3 2" xfId="17272"/>
    <cellStyle name="20% - Accent3 2 2 3 5 4" xfId="3230"/>
    <cellStyle name="20% - Accent3 2 2 3 5 5" xfId="11556"/>
    <cellStyle name="20% - Accent3 2 2 3 6" xfId="3231"/>
    <cellStyle name="20% - Accent3 2 2 3 6 2" xfId="11557"/>
    <cellStyle name="20% - Accent3 2 2 3 7" xfId="5975"/>
    <cellStyle name="20% - Accent3 2 2 3 7 2" xfId="14257"/>
    <cellStyle name="20% - Accent3 2 2 3 8" xfId="6494"/>
    <cellStyle name="20% - Accent3 2 2 3 8 2" xfId="14776"/>
    <cellStyle name="20% - Accent3 2 2 3 9" xfId="8988"/>
    <cellStyle name="20% - Accent3 2 2 3 9 2" xfId="17266"/>
    <cellStyle name="20% - Accent3 2 2 4" xfId="420"/>
    <cellStyle name="20% - Accent3 2 2 4 10" xfId="11558"/>
    <cellStyle name="20% - Accent3 2 2 4 2" xfId="421"/>
    <cellStyle name="20% - Accent3 2 2 4 2 2" xfId="422"/>
    <cellStyle name="20% - Accent3 2 2 4 2 2 2" xfId="6503"/>
    <cellStyle name="20% - Accent3 2 2 4 2 2 2 2" xfId="14785"/>
    <cellStyle name="20% - Accent3 2 2 4 2 2 3" xfId="8997"/>
    <cellStyle name="20% - Accent3 2 2 4 2 2 3 2" xfId="17275"/>
    <cellStyle name="20% - Accent3 2 2 4 2 2 4" xfId="3234"/>
    <cellStyle name="20% - Accent3 2 2 4 2 2 5" xfId="11560"/>
    <cellStyle name="20% - Accent3 2 2 4 2 3" xfId="6502"/>
    <cellStyle name="20% - Accent3 2 2 4 2 3 2" xfId="14784"/>
    <cellStyle name="20% - Accent3 2 2 4 2 4" xfId="8996"/>
    <cellStyle name="20% - Accent3 2 2 4 2 4 2" xfId="17274"/>
    <cellStyle name="20% - Accent3 2 2 4 2 5" xfId="3233"/>
    <cellStyle name="20% - Accent3 2 2 4 2 6" xfId="11559"/>
    <cellStyle name="20% - Accent3 2 2 4 3" xfId="423"/>
    <cellStyle name="20% - Accent3 2 2 4 3 2" xfId="6504"/>
    <cellStyle name="20% - Accent3 2 2 4 3 2 2" xfId="14786"/>
    <cellStyle name="20% - Accent3 2 2 4 3 3" xfId="8998"/>
    <cellStyle name="20% - Accent3 2 2 4 3 3 2" xfId="17276"/>
    <cellStyle name="20% - Accent3 2 2 4 3 4" xfId="3235"/>
    <cellStyle name="20% - Accent3 2 2 4 3 5" xfId="11561"/>
    <cellStyle name="20% - Accent3 2 2 4 4" xfId="424"/>
    <cellStyle name="20% - Accent3 2 2 4 4 2" xfId="6505"/>
    <cellStyle name="20% - Accent3 2 2 4 4 2 2" xfId="14787"/>
    <cellStyle name="20% - Accent3 2 2 4 4 3" xfId="8999"/>
    <cellStyle name="20% - Accent3 2 2 4 4 3 2" xfId="17277"/>
    <cellStyle name="20% - Accent3 2 2 4 4 4" xfId="3236"/>
    <cellStyle name="20% - Accent3 2 2 4 4 5" xfId="11562"/>
    <cellStyle name="20% - Accent3 2 2 4 5" xfId="3237"/>
    <cellStyle name="20% - Accent3 2 2 4 5 2" xfId="11563"/>
    <cellStyle name="20% - Accent3 2 2 4 6" xfId="5791"/>
    <cellStyle name="20% - Accent3 2 2 4 6 2" xfId="14073"/>
    <cellStyle name="20% - Accent3 2 2 4 7" xfId="6501"/>
    <cellStyle name="20% - Accent3 2 2 4 7 2" xfId="14783"/>
    <cellStyle name="20% - Accent3 2 2 4 8" xfId="8995"/>
    <cellStyle name="20% - Accent3 2 2 4 8 2" xfId="17273"/>
    <cellStyle name="20% - Accent3 2 2 4 9" xfId="3232"/>
    <cellStyle name="20% - Accent3 2 2 5" xfId="425"/>
    <cellStyle name="20% - Accent3 2 2 5 2" xfId="426"/>
    <cellStyle name="20% - Accent3 2 2 5 2 2" xfId="6507"/>
    <cellStyle name="20% - Accent3 2 2 5 2 2 2" xfId="14789"/>
    <cellStyle name="20% - Accent3 2 2 5 2 3" xfId="9001"/>
    <cellStyle name="20% - Accent3 2 2 5 2 3 2" xfId="17279"/>
    <cellStyle name="20% - Accent3 2 2 5 2 4" xfId="3239"/>
    <cellStyle name="20% - Accent3 2 2 5 2 5" xfId="11565"/>
    <cellStyle name="20% - Accent3 2 2 5 3" xfId="6506"/>
    <cellStyle name="20% - Accent3 2 2 5 3 2" xfId="14788"/>
    <cellStyle name="20% - Accent3 2 2 5 4" xfId="9000"/>
    <cellStyle name="20% - Accent3 2 2 5 4 2" xfId="17278"/>
    <cellStyle name="20% - Accent3 2 2 5 5" xfId="3238"/>
    <cellStyle name="20% - Accent3 2 2 5 6" xfId="11564"/>
    <cellStyle name="20% - Accent3 2 2 6" xfId="427"/>
    <cellStyle name="20% - Accent3 2 2 6 2" xfId="428"/>
    <cellStyle name="20% - Accent3 2 2 6 2 2" xfId="6509"/>
    <cellStyle name="20% - Accent3 2 2 6 2 2 2" xfId="14791"/>
    <cellStyle name="20% - Accent3 2 2 6 2 3" xfId="9003"/>
    <cellStyle name="20% - Accent3 2 2 6 2 3 2" xfId="17281"/>
    <cellStyle name="20% - Accent3 2 2 6 2 4" xfId="3241"/>
    <cellStyle name="20% - Accent3 2 2 6 2 5" xfId="11567"/>
    <cellStyle name="20% - Accent3 2 2 6 3" xfId="6508"/>
    <cellStyle name="20% - Accent3 2 2 6 3 2" xfId="14790"/>
    <cellStyle name="20% - Accent3 2 2 6 4" xfId="9002"/>
    <cellStyle name="20% - Accent3 2 2 6 4 2" xfId="17280"/>
    <cellStyle name="20% - Accent3 2 2 6 5" xfId="3240"/>
    <cellStyle name="20% - Accent3 2 2 6 6" xfId="11566"/>
    <cellStyle name="20% - Accent3 2 2 7" xfId="429"/>
    <cellStyle name="20% - Accent3 2 2 7 2" xfId="6510"/>
    <cellStyle name="20% - Accent3 2 2 7 2 2" xfId="14792"/>
    <cellStyle name="20% - Accent3 2 2 7 3" xfId="9004"/>
    <cellStyle name="20% - Accent3 2 2 7 3 2" xfId="17282"/>
    <cellStyle name="20% - Accent3 2 2 7 4" xfId="3242"/>
    <cellStyle name="20% - Accent3 2 2 7 5" xfId="11568"/>
    <cellStyle name="20% - Accent3 2 2 8" xfId="430"/>
    <cellStyle name="20% - Accent3 2 2 8 2" xfId="6511"/>
    <cellStyle name="20% - Accent3 2 2 8 2 2" xfId="14793"/>
    <cellStyle name="20% - Accent3 2 2 8 3" xfId="9005"/>
    <cellStyle name="20% - Accent3 2 2 8 3 2" xfId="17283"/>
    <cellStyle name="20% - Accent3 2 2 8 4" xfId="3243"/>
    <cellStyle name="20% - Accent3 2 2 8 5" xfId="11569"/>
    <cellStyle name="20% - Accent3 2 2 9" xfId="3244"/>
    <cellStyle name="20% - Accent3 2 2 9 2" xfId="11570"/>
    <cellStyle name="20% - Accent3 2 3" xfId="431"/>
    <cellStyle name="20% - Accent3 2 3 10" xfId="5703"/>
    <cellStyle name="20% - Accent3 2 3 10 2" xfId="13989"/>
    <cellStyle name="20% - Accent3 2 3 11" xfId="6512"/>
    <cellStyle name="20% - Accent3 2 3 11 2" xfId="14794"/>
    <cellStyle name="20% - Accent3 2 3 12" xfId="9006"/>
    <cellStyle name="20% - Accent3 2 3 12 2" xfId="17284"/>
    <cellStyle name="20% - Accent3 2 3 13" xfId="3245"/>
    <cellStyle name="20% - Accent3 2 3 14" xfId="11571"/>
    <cellStyle name="20% - Accent3 2 3 2" xfId="432"/>
    <cellStyle name="20% - Accent3 2 3 2 10" xfId="3246"/>
    <cellStyle name="20% - Accent3 2 3 2 11" xfId="11572"/>
    <cellStyle name="20% - Accent3 2 3 2 2" xfId="433"/>
    <cellStyle name="20% - Accent3 2 3 2 2 2" xfId="434"/>
    <cellStyle name="20% - Accent3 2 3 2 2 2 2" xfId="6515"/>
    <cellStyle name="20% - Accent3 2 3 2 2 2 2 2" xfId="14797"/>
    <cellStyle name="20% - Accent3 2 3 2 2 2 3" xfId="9009"/>
    <cellStyle name="20% - Accent3 2 3 2 2 2 3 2" xfId="17287"/>
    <cellStyle name="20% - Accent3 2 3 2 2 2 4" xfId="3248"/>
    <cellStyle name="20% - Accent3 2 3 2 2 2 5" xfId="11574"/>
    <cellStyle name="20% - Accent3 2 3 2 2 3" xfId="6514"/>
    <cellStyle name="20% - Accent3 2 3 2 2 3 2" xfId="14796"/>
    <cellStyle name="20% - Accent3 2 3 2 2 4" xfId="9008"/>
    <cellStyle name="20% - Accent3 2 3 2 2 4 2" xfId="17286"/>
    <cellStyle name="20% - Accent3 2 3 2 2 5" xfId="3247"/>
    <cellStyle name="20% - Accent3 2 3 2 2 6" xfId="11573"/>
    <cellStyle name="20% - Accent3 2 3 2 3" xfId="435"/>
    <cellStyle name="20% - Accent3 2 3 2 3 2" xfId="436"/>
    <cellStyle name="20% - Accent3 2 3 2 3 2 2" xfId="6517"/>
    <cellStyle name="20% - Accent3 2 3 2 3 2 2 2" xfId="14799"/>
    <cellStyle name="20% - Accent3 2 3 2 3 2 3" xfId="9011"/>
    <cellStyle name="20% - Accent3 2 3 2 3 2 3 2" xfId="17289"/>
    <cellStyle name="20% - Accent3 2 3 2 3 2 4" xfId="3250"/>
    <cellStyle name="20% - Accent3 2 3 2 3 2 5" xfId="11576"/>
    <cellStyle name="20% - Accent3 2 3 2 3 3" xfId="6516"/>
    <cellStyle name="20% - Accent3 2 3 2 3 3 2" xfId="14798"/>
    <cellStyle name="20% - Accent3 2 3 2 3 4" xfId="9010"/>
    <cellStyle name="20% - Accent3 2 3 2 3 4 2" xfId="17288"/>
    <cellStyle name="20% - Accent3 2 3 2 3 5" xfId="3249"/>
    <cellStyle name="20% - Accent3 2 3 2 3 6" xfId="11575"/>
    <cellStyle name="20% - Accent3 2 3 2 4" xfId="437"/>
    <cellStyle name="20% - Accent3 2 3 2 4 2" xfId="6518"/>
    <cellStyle name="20% - Accent3 2 3 2 4 2 2" xfId="14800"/>
    <cellStyle name="20% - Accent3 2 3 2 4 3" xfId="9012"/>
    <cellStyle name="20% - Accent3 2 3 2 4 3 2" xfId="17290"/>
    <cellStyle name="20% - Accent3 2 3 2 4 4" xfId="3251"/>
    <cellStyle name="20% - Accent3 2 3 2 4 5" xfId="11577"/>
    <cellStyle name="20% - Accent3 2 3 2 5" xfId="438"/>
    <cellStyle name="20% - Accent3 2 3 2 5 2" xfId="6519"/>
    <cellStyle name="20% - Accent3 2 3 2 5 2 2" xfId="14801"/>
    <cellStyle name="20% - Accent3 2 3 2 5 3" xfId="9013"/>
    <cellStyle name="20% - Accent3 2 3 2 5 3 2" xfId="17291"/>
    <cellStyle name="20% - Accent3 2 3 2 5 4" xfId="3252"/>
    <cellStyle name="20% - Accent3 2 3 2 5 5" xfId="11578"/>
    <cellStyle name="20% - Accent3 2 3 2 6" xfId="3253"/>
    <cellStyle name="20% - Accent3 2 3 2 6 2" xfId="11579"/>
    <cellStyle name="20% - Accent3 2 3 2 7" xfId="5905"/>
    <cellStyle name="20% - Accent3 2 3 2 7 2" xfId="14187"/>
    <cellStyle name="20% - Accent3 2 3 2 8" xfId="6513"/>
    <cellStyle name="20% - Accent3 2 3 2 8 2" xfId="14795"/>
    <cellStyle name="20% - Accent3 2 3 2 9" xfId="9007"/>
    <cellStyle name="20% - Accent3 2 3 2 9 2" xfId="17285"/>
    <cellStyle name="20% - Accent3 2 3 3" xfId="439"/>
    <cellStyle name="20% - Accent3 2 3 3 10" xfId="3254"/>
    <cellStyle name="20% - Accent3 2 3 3 11" xfId="11580"/>
    <cellStyle name="20% - Accent3 2 3 3 2" xfId="440"/>
    <cellStyle name="20% - Accent3 2 3 3 2 2" xfId="441"/>
    <cellStyle name="20% - Accent3 2 3 3 2 2 2" xfId="6522"/>
    <cellStyle name="20% - Accent3 2 3 3 2 2 2 2" xfId="14804"/>
    <cellStyle name="20% - Accent3 2 3 3 2 2 3" xfId="9016"/>
    <cellStyle name="20% - Accent3 2 3 3 2 2 3 2" xfId="17294"/>
    <cellStyle name="20% - Accent3 2 3 3 2 2 4" xfId="3256"/>
    <cellStyle name="20% - Accent3 2 3 3 2 2 5" xfId="11582"/>
    <cellStyle name="20% - Accent3 2 3 3 2 3" xfId="6521"/>
    <cellStyle name="20% - Accent3 2 3 3 2 3 2" xfId="14803"/>
    <cellStyle name="20% - Accent3 2 3 3 2 4" xfId="9015"/>
    <cellStyle name="20% - Accent3 2 3 3 2 4 2" xfId="17293"/>
    <cellStyle name="20% - Accent3 2 3 3 2 5" xfId="3255"/>
    <cellStyle name="20% - Accent3 2 3 3 2 6" xfId="11581"/>
    <cellStyle name="20% - Accent3 2 3 3 3" xfId="442"/>
    <cellStyle name="20% - Accent3 2 3 3 3 2" xfId="443"/>
    <cellStyle name="20% - Accent3 2 3 3 3 2 2" xfId="6524"/>
    <cellStyle name="20% - Accent3 2 3 3 3 2 2 2" xfId="14806"/>
    <cellStyle name="20% - Accent3 2 3 3 3 2 3" xfId="9018"/>
    <cellStyle name="20% - Accent3 2 3 3 3 2 3 2" xfId="17296"/>
    <cellStyle name="20% - Accent3 2 3 3 3 2 4" xfId="3258"/>
    <cellStyle name="20% - Accent3 2 3 3 3 2 5" xfId="11584"/>
    <cellStyle name="20% - Accent3 2 3 3 3 3" xfId="6523"/>
    <cellStyle name="20% - Accent3 2 3 3 3 3 2" xfId="14805"/>
    <cellStyle name="20% - Accent3 2 3 3 3 4" xfId="9017"/>
    <cellStyle name="20% - Accent3 2 3 3 3 4 2" xfId="17295"/>
    <cellStyle name="20% - Accent3 2 3 3 3 5" xfId="3257"/>
    <cellStyle name="20% - Accent3 2 3 3 3 6" xfId="11583"/>
    <cellStyle name="20% - Accent3 2 3 3 4" xfId="444"/>
    <cellStyle name="20% - Accent3 2 3 3 4 2" xfId="6525"/>
    <cellStyle name="20% - Accent3 2 3 3 4 2 2" xfId="14807"/>
    <cellStyle name="20% - Accent3 2 3 3 4 3" xfId="9019"/>
    <cellStyle name="20% - Accent3 2 3 3 4 3 2" xfId="17297"/>
    <cellStyle name="20% - Accent3 2 3 3 4 4" xfId="3259"/>
    <cellStyle name="20% - Accent3 2 3 3 4 5" xfId="11585"/>
    <cellStyle name="20% - Accent3 2 3 3 5" xfId="445"/>
    <cellStyle name="20% - Accent3 2 3 3 5 2" xfId="6526"/>
    <cellStyle name="20% - Accent3 2 3 3 5 2 2" xfId="14808"/>
    <cellStyle name="20% - Accent3 2 3 3 5 3" xfId="9020"/>
    <cellStyle name="20% - Accent3 2 3 3 5 3 2" xfId="17298"/>
    <cellStyle name="20% - Accent3 2 3 3 5 4" xfId="3260"/>
    <cellStyle name="20% - Accent3 2 3 3 5 5" xfId="11586"/>
    <cellStyle name="20% - Accent3 2 3 3 6" xfId="3261"/>
    <cellStyle name="20% - Accent3 2 3 3 6 2" xfId="11587"/>
    <cellStyle name="20% - Accent3 2 3 3 7" xfId="6003"/>
    <cellStyle name="20% - Accent3 2 3 3 7 2" xfId="14285"/>
    <cellStyle name="20% - Accent3 2 3 3 8" xfId="6520"/>
    <cellStyle name="20% - Accent3 2 3 3 8 2" xfId="14802"/>
    <cellStyle name="20% - Accent3 2 3 3 9" xfId="9014"/>
    <cellStyle name="20% - Accent3 2 3 3 9 2" xfId="17292"/>
    <cellStyle name="20% - Accent3 2 3 4" xfId="446"/>
    <cellStyle name="20% - Accent3 2 3 4 10" xfId="11588"/>
    <cellStyle name="20% - Accent3 2 3 4 2" xfId="447"/>
    <cellStyle name="20% - Accent3 2 3 4 2 2" xfId="448"/>
    <cellStyle name="20% - Accent3 2 3 4 2 2 2" xfId="6529"/>
    <cellStyle name="20% - Accent3 2 3 4 2 2 2 2" xfId="14811"/>
    <cellStyle name="20% - Accent3 2 3 4 2 2 3" xfId="9023"/>
    <cellStyle name="20% - Accent3 2 3 4 2 2 3 2" xfId="17301"/>
    <cellStyle name="20% - Accent3 2 3 4 2 2 4" xfId="3264"/>
    <cellStyle name="20% - Accent3 2 3 4 2 2 5" xfId="11590"/>
    <cellStyle name="20% - Accent3 2 3 4 2 3" xfId="6528"/>
    <cellStyle name="20% - Accent3 2 3 4 2 3 2" xfId="14810"/>
    <cellStyle name="20% - Accent3 2 3 4 2 4" xfId="9022"/>
    <cellStyle name="20% - Accent3 2 3 4 2 4 2" xfId="17300"/>
    <cellStyle name="20% - Accent3 2 3 4 2 5" xfId="3263"/>
    <cellStyle name="20% - Accent3 2 3 4 2 6" xfId="11589"/>
    <cellStyle name="20% - Accent3 2 3 4 3" xfId="449"/>
    <cellStyle name="20% - Accent3 2 3 4 3 2" xfId="6530"/>
    <cellStyle name="20% - Accent3 2 3 4 3 2 2" xfId="14812"/>
    <cellStyle name="20% - Accent3 2 3 4 3 3" xfId="9024"/>
    <cellStyle name="20% - Accent3 2 3 4 3 3 2" xfId="17302"/>
    <cellStyle name="20% - Accent3 2 3 4 3 4" xfId="3265"/>
    <cellStyle name="20% - Accent3 2 3 4 3 5" xfId="11591"/>
    <cellStyle name="20% - Accent3 2 3 4 4" xfId="450"/>
    <cellStyle name="20% - Accent3 2 3 4 4 2" xfId="6531"/>
    <cellStyle name="20% - Accent3 2 3 4 4 2 2" xfId="14813"/>
    <cellStyle name="20% - Accent3 2 3 4 4 3" xfId="9025"/>
    <cellStyle name="20% - Accent3 2 3 4 4 3 2" xfId="17303"/>
    <cellStyle name="20% - Accent3 2 3 4 4 4" xfId="3266"/>
    <cellStyle name="20% - Accent3 2 3 4 4 5" xfId="11592"/>
    <cellStyle name="20% - Accent3 2 3 4 5" xfId="3267"/>
    <cellStyle name="20% - Accent3 2 3 4 5 2" xfId="11593"/>
    <cellStyle name="20% - Accent3 2 3 4 6" xfId="5819"/>
    <cellStyle name="20% - Accent3 2 3 4 6 2" xfId="14101"/>
    <cellStyle name="20% - Accent3 2 3 4 7" xfId="6527"/>
    <cellStyle name="20% - Accent3 2 3 4 7 2" xfId="14809"/>
    <cellStyle name="20% - Accent3 2 3 4 8" xfId="9021"/>
    <cellStyle name="20% - Accent3 2 3 4 8 2" xfId="17299"/>
    <cellStyle name="20% - Accent3 2 3 4 9" xfId="3262"/>
    <cellStyle name="20% - Accent3 2 3 5" xfId="451"/>
    <cellStyle name="20% - Accent3 2 3 5 2" xfId="452"/>
    <cellStyle name="20% - Accent3 2 3 5 2 2" xfId="6533"/>
    <cellStyle name="20% - Accent3 2 3 5 2 2 2" xfId="14815"/>
    <cellStyle name="20% - Accent3 2 3 5 2 3" xfId="9027"/>
    <cellStyle name="20% - Accent3 2 3 5 2 3 2" xfId="17305"/>
    <cellStyle name="20% - Accent3 2 3 5 2 4" xfId="3269"/>
    <cellStyle name="20% - Accent3 2 3 5 2 5" xfId="11595"/>
    <cellStyle name="20% - Accent3 2 3 5 3" xfId="6532"/>
    <cellStyle name="20% - Accent3 2 3 5 3 2" xfId="14814"/>
    <cellStyle name="20% - Accent3 2 3 5 4" xfId="9026"/>
    <cellStyle name="20% - Accent3 2 3 5 4 2" xfId="17304"/>
    <cellStyle name="20% - Accent3 2 3 5 5" xfId="3268"/>
    <cellStyle name="20% - Accent3 2 3 5 6" xfId="11594"/>
    <cellStyle name="20% - Accent3 2 3 6" xfId="453"/>
    <cellStyle name="20% - Accent3 2 3 6 2" xfId="454"/>
    <cellStyle name="20% - Accent3 2 3 6 2 2" xfId="6535"/>
    <cellStyle name="20% - Accent3 2 3 6 2 2 2" xfId="14817"/>
    <cellStyle name="20% - Accent3 2 3 6 2 3" xfId="9029"/>
    <cellStyle name="20% - Accent3 2 3 6 2 3 2" xfId="17307"/>
    <cellStyle name="20% - Accent3 2 3 6 2 4" xfId="3271"/>
    <cellStyle name="20% - Accent3 2 3 6 2 5" xfId="11597"/>
    <cellStyle name="20% - Accent3 2 3 6 3" xfId="6534"/>
    <cellStyle name="20% - Accent3 2 3 6 3 2" xfId="14816"/>
    <cellStyle name="20% - Accent3 2 3 6 4" xfId="9028"/>
    <cellStyle name="20% - Accent3 2 3 6 4 2" xfId="17306"/>
    <cellStyle name="20% - Accent3 2 3 6 5" xfId="3270"/>
    <cellStyle name="20% - Accent3 2 3 6 6" xfId="11596"/>
    <cellStyle name="20% - Accent3 2 3 7" xfId="455"/>
    <cellStyle name="20% - Accent3 2 3 7 2" xfId="6536"/>
    <cellStyle name="20% - Accent3 2 3 7 2 2" xfId="14818"/>
    <cellStyle name="20% - Accent3 2 3 7 3" xfId="9030"/>
    <cellStyle name="20% - Accent3 2 3 7 3 2" xfId="17308"/>
    <cellStyle name="20% - Accent3 2 3 7 4" xfId="3272"/>
    <cellStyle name="20% - Accent3 2 3 7 5" xfId="11598"/>
    <cellStyle name="20% - Accent3 2 3 8" xfId="456"/>
    <cellStyle name="20% - Accent3 2 3 8 2" xfId="6537"/>
    <cellStyle name="20% - Accent3 2 3 8 2 2" xfId="14819"/>
    <cellStyle name="20% - Accent3 2 3 8 3" xfId="9031"/>
    <cellStyle name="20% - Accent3 2 3 8 3 2" xfId="17309"/>
    <cellStyle name="20% - Accent3 2 3 8 4" xfId="3273"/>
    <cellStyle name="20% - Accent3 2 3 8 5" xfId="11599"/>
    <cellStyle name="20% - Accent3 2 3 9" xfId="3274"/>
    <cellStyle name="20% - Accent3 2 3 9 2" xfId="11600"/>
    <cellStyle name="20% - Accent3 2 4" xfId="457"/>
    <cellStyle name="20% - Accent3 2 4 10" xfId="3275"/>
    <cellStyle name="20% - Accent3 2 4 11" xfId="11601"/>
    <cellStyle name="20% - Accent3 2 4 2" xfId="458"/>
    <cellStyle name="20% - Accent3 2 4 2 2" xfId="459"/>
    <cellStyle name="20% - Accent3 2 4 2 2 2" xfId="6540"/>
    <cellStyle name="20% - Accent3 2 4 2 2 2 2" xfId="14822"/>
    <cellStyle name="20% - Accent3 2 4 2 2 3" xfId="9034"/>
    <cellStyle name="20% - Accent3 2 4 2 2 3 2" xfId="17312"/>
    <cellStyle name="20% - Accent3 2 4 2 2 4" xfId="3277"/>
    <cellStyle name="20% - Accent3 2 4 2 2 5" xfId="11603"/>
    <cellStyle name="20% - Accent3 2 4 2 3" xfId="6539"/>
    <cellStyle name="20% - Accent3 2 4 2 3 2" xfId="14821"/>
    <cellStyle name="20% - Accent3 2 4 2 4" xfId="9033"/>
    <cellStyle name="20% - Accent3 2 4 2 4 2" xfId="17311"/>
    <cellStyle name="20% - Accent3 2 4 2 5" xfId="3276"/>
    <cellStyle name="20% - Accent3 2 4 2 6" xfId="11602"/>
    <cellStyle name="20% - Accent3 2 4 3" xfId="460"/>
    <cellStyle name="20% - Accent3 2 4 3 2" xfId="461"/>
    <cellStyle name="20% - Accent3 2 4 3 2 2" xfId="6542"/>
    <cellStyle name="20% - Accent3 2 4 3 2 2 2" xfId="14824"/>
    <cellStyle name="20% - Accent3 2 4 3 2 3" xfId="9036"/>
    <cellStyle name="20% - Accent3 2 4 3 2 3 2" xfId="17314"/>
    <cellStyle name="20% - Accent3 2 4 3 2 4" xfId="3279"/>
    <cellStyle name="20% - Accent3 2 4 3 2 5" xfId="11605"/>
    <cellStyle name="20% - Accent3 2 4 3 3" xfId="6541"/>
    <cellStyle name="20% - Accent3 2 4 3 3 2" xfId="14823"/>
    <cellStyle name="20% - Accent3 2 4 3 4" xfId="9035"/>
    <cellStyle name="20% - Accent3 2 4 3 4 2" xfId="17313"/>
    <cellStyle name="20% - Accent3 2 4 3 5" xfId="3278"/>
    <cellStyle name="20% - Accent3 2 4 3 6" xfId="11604"/>
    <cellStyle name="20% - Accent3 2 4 4" xfId="462"/>
    <cellStyle name="20% - Accent3 2 4 4 2" xfId="6543"/>
    <cellStyle name="20% - Accent3 2 4 4 2 2" xfId="14825"/>
    <cellStyle name="20% - Accent3 2 4 4 3" xfId="9037"/>
    <cellStyle name="20% - Accent3 2 4 4 3 2" xfId="17315"/>
    <cellStyle name="20% - Accent3 2 4 4 4" xfId="3280"/>
    <cellStyle name="20% - Accent3 2 4 4 5" xfId="11606"/>
    <cellStyle name="20% - Accent3 2 4 5" xfId="463"/>
    <cellStyle name="20% - Accent3 2 4 5 2" xfId="6544"/>
    <cellStyle name="20% - Accent3 2 4 5 2 2" xfId="14826"/>
    <cellStyle name="20% - Accent3 2 4 5 3" xfId="9038"/>
    <cellStyle name="20% - Accent3 2 4 5 3 2" xfId="17316"/>
    <cellStyle name="20% - Accent3 2 4 5 4" xfId="3281"/>
    <cellStyle name="20% - Accent3 2 4 5 5" xfId="11607"/>
    <cellStyle name="20% - Accent3 2 4 6" xfId="3282"/>
    <cellStyle name="20% - Accent3 2 4 6 2" xfId="11608"/>
    <cellStyle name="20% - Accent3 2 4 7" xfId="5757"/>
    <cellStyle name="20% - Accent3 2 4 7 2" xfId="14041"/>
    <cellStyle name="20% - Accent3 2 4 8" xfId="6538"/>
    <cellStyle name="20% - Accent3 2 4 8 2" xfId="14820"/>
    <cellStyle name="20% - Accent3 2 4 9" xfId="9032"/>
    <cellStyle name="20% - Accent3 2 4 9 2" xfId="17310"/>
    <cellStyle name="20% - Accent3 2 5" xfId="464"/>
    <cellStyle name="20% - Accent3 2 5 10" xfId="3283"/>
    <cellStyle name="20% - Accent3 2 5 11" xfId="11609"/>
    <cellStyle name="20% - Accent3 2 5 2" xfId="465"/>
    <cellStyle name="20% - Accent3 2 5 2 2" xfId="466"/>
    <cellStyle name="20% - Accent3 2 5 2 2 2" xfId="6547"/>
    <cellStyle name="20% - Accent3 2 5 2 2 2 2" xfId="14829"/>
    <cellStyle name="20% - Accent3 2 5 2 2 3" xfId="9041"/>
    <cellStyle name="20% - Accent3 2 5 2 2 3 2" xfId="17319"/>
    <cellStyle name="20% - Accent3 2 5 2 2 4" xfId="3285"/>
    <cellStyle name="20% - Accent3 2 5 2 2 5" xfId="11611"/>
    <cellStyle name="20% - Accent3 2 5 2 3" xfId="6546"/>
    <cellStyle name="20% - Accent3 2 5 2 3 2" xfId="14828"/>
    <cellStyle name="20% - Accent3 2 5 2 4" xfId="9040"/>
    <cellStyle name="20% - Accent3 2 5 2 4 2" xfId="17318"/>
    <cellStyle name="20% - Accent3 2 5 2 5" xfId="3284"/>
    <cellStyle name="20% - Accent3 2 5 2 6" xfId="11610"/>
    <cellStyle name="20% - Accent3 2 5 3" xfId="467"/>
    <cellStyle name="20% - Accent3 2 5 3 2" xfId="468"/>
    <cellStyle name="20% - Accent3 2 5 3 2 2" xfId="6549"/>
    <cellStyle name="20% - Accent3 2 5 3 2 2 2" xfId="14831"/>
    <cellStyle name="20% - Accent3 2 5 3 2 3" xfId="9043"/>
    <cellStyle name="20% - Accent3 2 5 3 2 3 2" xfId="17321"/>
    <cellStyle name="20% - Accent3 2 5 3 2 4" xfId="3287"/>
    <cellStyle name="20% - Accent3 2 5 3 2 5" xfId="11613"/>
    <cellStyle name="20% - Accent3 2 5 3 3" xfId="6548"/>
    <cellStyle name="20% - Accent3 2 5 3 3 2" xfId="14830"/>
    <cellStyle name="20% - Accent3 2 5 3 4" xfId="9042"/>
    <cellStyle name="20% - Accent3 2 5 3 4 2" xfId="17320"/>
    <cellStyle name="20% - Accent3 2 5 3 5" xfId="3286"/>
    <cellStyle name="20% - Accent3 2 5 3 6" xfId="11612"/>
    <cellStyle name="20% - Accent3 2 5 4" xfId="469"/>
    <cellStyle name="20% - Accent3 2 5 4 2" xfId="6550"/>
    <cellStyle name="20% - Accent3 2 5 4 2 2" xfId="14832"/>
    <cellStyle name="20% - Accent3 2 5 4 3" xfId="9044"/>
    <cellStyle name="20% - Accent3 2 5 4 3 2" xfId="17322"/>
    <cellStyle name="20% - Accent3 2 5 4 4" xfId="3288"/>
    <cellStyle name="20% - Accent3 2 5 4 5" xfId="11614"/>
    <cellStyle name="20% - Accent3 2 5 5" xfId="470"/>
    <cellStyle name="20% - Accent3 2 5 5 2" xfId="6551"/>
    <cellStyle name="20% - Accent3 2 5 5 2 2" xfId="14833"/>
    <cellStyle name="20% - Accent3 2 5 5 3" xfId="9045"/>
    <cellStyle name="20% - Accent3 2 5 5 3 2" xfId="17323"/>
    <cellStyle name="20% - Accent3 2 5 5 4" xfId="3289"/>
    <cellStyle name="20% - Accent3 2 5 5 5" xfId="11615"/>
    <cellStyle name="20% - Accent3 2 5 6" xfId="3290"/>
    <cellStyle name="20% - Accent3 2 5 6 2" xfId="11616"/>
    <cellStyle name="20% - Accent3 2 5 7" xfId="5845"/>
    <cellStyle name="20% - Accent3 2 5 7 2" xfId="14127"/>
    <cellStyle name="20% - Accent3 2 5 8" xfId="6545"/>
    <cellStyle name="20% - Accent3 2 5 8 2" xfId="14827"/>
    <cellStyle name="20% - Accent3 2 5 9" xfId="9039"/>
    <cellStyle name="20% - Accent3 2 5 9 2" xfId="17317"/>
    <cellStyle name="20% - Accent3 2 6" xfId="471"/>
    <cellStyle name="20% - Accent3 2 6 10" xfId="3291"/>
    <cellStyle name="20% - Accent3 2 6 11" xfId="11617"/>
    <cellStyle name="20% - Accent3 2 6 2" xfId="472"/>
    <cellStyle name="20% - Accent3 2 6 2 2" xfId="473"/>
    <cellStyle name="20% - Accent3 2 6 2 2 2" xfId="6554"/>
    <cellStyle name="20% - Accent3 2 6 2 2 2 2" xfId="14836"/>
    <cellStyle name="20% - Accent3 2 6 2 2 3" xfId="9048"/>
    <cellStyle name="20% - Accent3 2 6 2 2 3 2" xfId="17326"/>
    <cellStyle name="20% - Accent3 2 6 2 2 4" xfId="3293"/>
    <cellStyle name="20% - Accent3 2 6 2 2 5" xfId="11619"/>
    <cellStyle name="20% - Accent3 2 6 2 3" xfId="6553"/>
    <cellStyle name="20% - Accent3 2 6 2 3 2" xfId="14835"/>
    <cellStyle name="20% - Accent3 2 6 2 4" xfId="9047"/>
    <cellStyle name="20% - Accent3 2 6 2 4 2" xfId="17325"/>
    <cellStyle name="20% - Accent3 2 6 2 5" xfId="3292"/>
    <cellStyle name="20% - Accent3 2 6 2 6" xfId="11618"/>
    <cellStyle name="20% - Accent3 2 6 3" xfId="474"/>
    <cellStyle name="20% - Accent3 2 6 3 2" xfId="475"/>
    <cellStyle name="20% - Accent3 2 6 3 2 2" xfId="6556"/>
    <cellStyle name="20% - Accent3 2 6 3 2 2 2" xfId="14838"/>
    <cellStyle name="20% - Accent3 2 6 3 2 3" xfId="9050"/>
    <cellStyle name="20% - Accent3 2 6 3 2 3 2" xfId="17328"/>
    <cellStyle name="20% - Accent3 2 6 3 2 4" xfId="3295"/>
    <cellStyle name="20% - Accent3 2 6 3 2 5" xfId="11621"/>
    <cellStyle name="20% - Accent3 2 6 3 3" xfId="6555"/>
    <cellStyle name="20% - Accent3 2 6 3 3 2" xfId="14837"/>
    <cellStyle name="20% - Accent3 2 6 3 4" xfId="9049"/>
    <cellStyle name="20% - Accent3 2 6 3 4 2" xfId="17327"/>
    <cellStyle name="20% - Accent3 2 6 3 5" xfId="3294"/>
    <cellStyle name="20% - Accent3 2 6 3 6" xfId="11620"/>
    <cellStyle name="20% - Accent3 2 6 4" xfId="476"/>
    <cellStyle name="20% - Accent3 2 6 4 2" xfId="6557"/>
    <cellStyle name="20% - Accent3 2 6 4 2 2" xfId="14839"/>
    <cellStyle name="20% - Accent3 2 6 4 3" xfId="9051"/>
    <cellStyle name="20% - Accent3 2 6 4 3 2" xfId="17329"/>
    <cellStyle name="20% - Accent3 2 6 4 4" xfId="3296"/>
    <cellStyle name="20% - Accent3 2 6 4 5" xfId="11622"/>
    <cellStyle name="20% - Accent3 2 6 5" xfId="477"/>
    <cellStyle name="20% - Accent3 2 6 5 2" xfId="6558"/>
    <cellStyle name="20% - Accent3 2 6 5 2 2" xfId="14840"/>
    <cellStyle name="20% - Accent3 2 6 5 3" xfId="9052"/>
    <cellStyle name="20% - Accent3 2 6 5 3 2" xfId="17330"/>
    <cellStyle name="20% - Accent3 2 6 5 4" xfId="3297"/>
    <cellStyle name="20% - Accent3 2 6 5 5" xfId="11623"/>
    <cellStyle name="20% - Accent3 2 6 6" xfId="3298"/>
    <cellStyle name="20% - Accent3 2 6 6 2" xfId="11624"/>
    <cellStyle name="20% - Accent3 2 6 7" xfId="5943"/>
    <cellStyle name="20% - Accent3 2 6 7 2" xfId="14225"/>
    <cellStyle name="20% - Accent3 2 6 8" xfId="6552"/>
    <cellStyle name="20% - Accent3 2 6 8 2" xfId="14834"/>
    <cellStyle name="20% - Accent3 2 6 9" xfId="9046"/>
    <cellStyle name="20% - Accent3 2 6 9 2" xfId="17324"/>
    <cellStyle name="20% - Accent3 2 7" xfId="478"/>
    <cellStyle name="20% - Accent3 2 7 10" xfId="11625"/>
    <cellStyle name="20% - Accent3 2 7 2" xfId="479"/>
    <cellStyle name="20% - Accent3 2 7 2 2" xfId="480"/>
    <cellStyle name="20% - Accent3 2 7 2 2 2" xfId="6561"/>
    <cellStyle name="20% - Accent3 2 7 2 2 2 2" xfId="14843"/>
    <cellStyle name="20% - Accent3 2 7 2 2 3" xfId="9055"/>
    <cellStyle name="20% - Accent3 2 7 2 2 3 2" xfId="17333"/>
    <cellStyle name="20% - Accent3 2 7 2 2 4" xfId="3301"/>
    <cellStyle name="20% - Accent3 2 7 2 2 5" xfId="11627"/>
    <cellStyle name="20% - Accent3 2 7 2 3" xfId="6560"/>
    <cellStyle name="20% - Accent3 2 7 2 3 2" xfId="14842"/>
    <cellStyle name="20% - Accent3 2 7 2 4" xfId="9054"/>
    <cellStyle name="20% - Accent3 2 7 2 4 2" xfId="17332"/>
    <cellStyle name="20% - Accent3 2 7 2 5" xfId="3300"/>
    <cellStyle name="20% - Accent3 2 7 2 6" xfId="11626"/>
    <cellStyle name="20% - Accent3 2 7 3" xfId="481"/>
    <cellStyle name="20% - Accent3 2 7 3 2" xfId="6562"/>
    <cellStyle name="20% - Accent3 2 7 3 2 2" xfId="14844"/>
    <cellStyle name="20% - Accent3 2 7 3 3" xfId="9056"/>
    <cellStyle name="20% - Accent3 2 7 3 3 2" xfId="17334"/>
    <cellStyle name="20% - Accent3 2 7 3 4" xfId="3302"/>
    <cellStyle name="20% - Accent3 2 7 3 5" xfId="11628"/>
    <cellStyle name="20% - Accent3 2 7 4" xfId="482"/>
    <cellStyle name="20% - Accent3 2 7 4 2" xfId="6563"/>
    <cellStyle name="20% - Accent3 2 7 4 2 2" xfId="14845"/>
    <cellStyle name="20% - Accent3 2 7 4 3" xfId="9057"/>
    <cellStyle name="20% - Accent3 2 7 4 3 2" xfId="17335"/>
    <cellStyle name="20% - Accent3 2 7 4 4" xfId="3303"/>
    <cellStyle name="20% - Accent3 2 7 4 5" xfId="11629"/>
    <cellStyle name="20% - Accent3 2 7 5" xfId="3304"/>
    <cellStyle name="20% - Accent3 2 7 5 2" xfId="11630"/>
    <cellStyle name="20% - Accent3 2 7 6" xfId="5731"/>
    <cellStyle name="20% - Accent3 2 7 6 2" xfId="14017"/>
    <cellStyle name="20% - Accent3 2 7 7" xfId="6559"/>
    <cellStyle name="20% - Accent3 2 7 7 2" xfId="14841"/>
    <cellStyle name="20% - Accent3 2 7 8" xfId="9053"/>
    <cellStyle name="20% - Accent3 2 7 8 2" xfId="17331"/>
    <cellStyle name="20% - Accent3 2 7 9" xfId="3299"/>
    <cellStyle name="20% - Accent3 2 8" xfId="483"/>
    <cellStyle name="20% - Accent3 2 8 2" xfId="484"/>
    <cellStyle name="20% - Accent3 2 8 2 2" xfId="6565"/>
    <cellStyle name="20% - Accent3 2 8 2 2 2" xfId="14847"/>
    <cellStyle name="20% - Accent3 2 8 2 3" xfId="9059"/>
    <cellStyle name="20% - Accent3 2 8 2 3 2" xfId="17337"/>
    <cellStyle name="20% - Accent3 2 8 2 4" xfId="3306"/>
    <cellStyle name="20% - Accent3 2 8 2 5" xfId="11632"/>
    <cellStyle name="20% - Accent3 2 8 3" xfId="6564"/>
    <cellStyle name="20% - Accent3 2 8 3 2" xfId="14846"/>
    <cellStyle name="20% - Accent3 2 8 4" xfId="9058"/>
    <cellStyle name="20% - Accent3 2 8 4 2" xfId="17336"/>
    <cellStyle name="20% - Accent3 2 8 5" xfId="3305"/>
    <cellStyle name="20% - Accent3 2 8 6" xfId="11631"/>
    <cellStyle name="20% - Accent3 2 9" xfId="485"/>
    <cellStyle name="20% - Accent3 2 9 2" xfId="486"/>
    <cellStyle name="20% - Accent3 2 9 2 2" xfId="6567"/>
    <cellStyle name="20% - Accent3 2 9 2 2 2" xfId="14849"/>
    <cellStyle name="20% - Accent3 2 9 2 3" xfId="9061"/>
    <cellStyle name="20% - Accent3 2 9 2 3 2" xfId="17339"/>
    <cellStyle name="20% - Accent3 2 9 2 4" xfId="3308"/>
    <cellStyle name="20% - Accent3 2 9 2 5" xfId="11634"/>
    <cellStyle name="20% - Accent3 2 9 3" xfId="6566"/>
    <cellStyle name="20% - Accent3 2 9 3 2" xfId="14848"/>
    <cellStyle name="20% - Accent3 2 9 4" xfId="9060"/>
    <cellStyle name="20% - Accent3 2 9 4 2" xfId="17338"/>
    <cellStyle name="20% - Accent3 2 9 5" xfId="3307"/>
    <cellStyle name="20% - Accent3 2 9 6" xfId="11633"/>
    <cellStyle name="20% - Accent3 20" xfId="3186"/>
    <cellStyle name="20% - Accent3 21" xfId="11512"/>
    <cellStyle name="20% - Accent3 22" xfId="19351"/>
    <cellStyle name="20% - Accent3 3" xfId="487"/>
    <cellStyle name="20% - Accent3 3 10" xfId="5656"/>
    <cellStyle name="20% - Accent3 3 10 2" xfId="13943"/>
    <cellStyle name="20% - Accent3 3 11" xfId="6568"/>
    <cellStyle name="20% - Accent3 3 11 2" xfId="14850"/>
    <cellStyle name="20% - Accent3 3 12" xfId="9062"/>
    <cellStyle name="20% - Accent3 3 12 2" xfId="17340"/>
    <cellStyle name="20% - Accent3 3 13" xfId="3309"/>
    <cellStyle name="20% - Accent3 3 14" xfId="11635"/>
    <cellStyle name="20% - Accent3 3 2" xfId="488"/>
    <cellStyle name="20% - Accent3 3 2 10" xfId="3310"/>
    <cellStyle name="20% - Accent3 3 2 11" xfId="11636"/>
    <cellStyle name="20% - Accent3 3 2 2" xfId="489"/>
    <cellStyle name="20% - Accent3 3 2 2 2" xfId="490"/>
    <cellStyle name="20% - Accent3 3 2 2 2 2" xfId="6571"/>
    <cellStyle name="20% - Accent3 3 2 2 2 2 2" xfId="14853"/>
    <cellStyle name="20% - Accent3 3 2 2 2 3" xfId="9065"/>
    <cellStyle name="20% - Accent3 3 2 2 2 3 2" xfId="17343"/>
    <cellStyle name="20% - Accent3 3 2 2 2 4" xfId="3312"/>
    <cellStyle name="20% - Accent3 3 2 2 2 5" xfId="11638"/>
    <cellStyle name="20% - Accent3 3 2 2 3" xfId="6570"/>
    <cellStyle name="20% - Accent3 3 2 2 3 2" xfId="14852"/>
    <cellStyle name="20% - Accent3 3 2 2 4" xfId="9064"/>
    <cellStyle name="20% - Accent3 3 2 2 4 2" xfId="17342"/>
    <cellStyle name="20% - Accent3 3 2 2 5" xfId="3311"/>
    <cellStyle name="20% - Accent3 3 2 2 6" xfId="11637"/>
    <cellStyle name="20% - Accent3 3 2 3" xfId="491"/>
    <cellStyle name="20% - Accent3 3 2 3 2" xfId="492"/>
    <cellStyle name="20% - Accent3 3 2 3 2 2" xfId="6573"/>
    <cellStyle name="20% - Accent3 3 2 3 2 2 2" xfId="14855"/>
    <cellStyle name="20% - Accent3 3 2 3 2 3" xfId="9067"/>
    <cellStyle name="20% - Accent3 3 2 3 2 3 2" xfId="17345"/>
    <cellStyle name="20% - Accent3 3 2 3 2 4" xfId="3314"/>
    <cellStyle name="20% - Accent3 3 2 3 2 5" xfId="11640"/>
    <cellStyle name="20% - Accent3 3 2 3 3" xfId="6572"/>
    <cellStyle name="20% - Accent3 3 2 3 3 2" xfId="14854"/>
    <cellStyle name="20% - Accent3 3 2 3 4" xfId="9066"/>
    <cellStyle name="20% - Accent3 3 2 3 4 2" xfId="17344"/>
    <cellStyle name="20% - Accent3 3 2 3 5" xfId="3313"/>
    <cellStyle name="20% - Accent3 3 2 3 6" xfId="11639"/>
    <cellStyle name="20% - Accent3 3 2 4" xfId="493"/>
    <cellStyle name="20% - Accent3 3 2 4 2" xfId="6574"/>
    <cellStyle name="20% - Accent3 3 2 4 2 2" xfId="14856"/>
    <cellStyle name="20% - Accent3 3 2 4 3" xfId="9068"/>
    <cellStyle name="20% - Accent3 3 2 4 3 2" xfId="17346"/>
    <cellStyle name="20% - Accent3 3 2 4 4" xfId="3315"/>
    <cellStyle name="20% - Accent3 3 2 4 5" xfId="11641"/>
    <cellStyle name="20% - Accent3 3 2 5" xfId="494"/>
    <cellStyle name="20% - Accent3 3 2 5 2" xfId="6575"/>
    <cellStyle name="20% - Accent3 3 2 5 2 2" xfId="14857"/>
    <cellStyle name="20% - Accent3 3 2 5 3" xfId="9069"/>
    <cellStyle name="20% - Accent3 3 2 5 3 2" xfId="17347"/>
    <cellStyle name="20% - Accent3 3 2 5 4" xfId="3316"/>
    <cellStyle name="20% - Accent3 3 2 5 5" xfId="11642"/>
    <cellStyle name="20% - Accent3 3 2 6" xfId="3317"/>
    <cellStyle name="20% - Accent3 3 2 6 2" xfId="11643"/>
    <cellStyle name="20% - Accent3 3 2 7" xfId="5859"/>
    <cellStyle name="20% - Accent3 3 2 7 2" xfId="14141"/>
    <cellStyle name="20% - Accent3 3 2 8" xfId="6569"/>
    <cellStyle name="20% - Accent3 3 2 8 2" xfId="14851"/>
    <cellStyle name="20% - Accent3 3 2 9" xfId="9063"/>
    <cellStyle name="20% - Accent3 3 2 9 2" xfId="17341"/>
    <cellStyle name="20% - Accent3 3 3" xfId="495"/>
    <cellStyle name="20% - Accent3 3 3 10" xfId="3318"/>
    <cellStyle name="20% - Accent3 3 3 11" xfId="11644"/>
    <cellStyle name="20% - Accent3 3 3 2" xfId="496"/>
    <cellStyle name="20% - Accent3 3 3 2 2" xfId="497"/>
    <cellStyle name="20% - Accent3 3 3 2 2 2" xfId="6578"/>
    <cellStyle name="20% - Accent3 3 3 2 2 2 2" xfId="14860"/>
    <cellStyle name="20% - Accent3 3 3 2 2 3" xfId="9072"/>
    <cellStyle name="20% - Accent3 3 3 2 2 3 2" xfId="17350"/>
    <cellStyle name="20% - Accent3 3 3 2 2 4" xfId="3320"/>
    <cellStyle name="20% - Accent3 3 3 2 2 5" xfId="11646"/>
    <cellStyle name="20% - Accent3 3 3 2 3" xfId="6577"/>
    <cellStyle name="20% - Accent3 3 3 2 3 2" xfId="14859"/>
    <cellStyle name="20% - Accent3 3 3 2 4" xfId="9071"/>
    <cellStyle name="20% - Accent3 3 3 2 4 2" xfId="17349"/>
    <cellStyle name="20% - Accent3 3 3 2 5" xfId="3319"/>
    <cellStyle name="20% - Accent3 3 3 2 6" xfId="11645"/>
    <cellStyle name="20% - Accent3 3 3 3" xfId="498"/>
    <cellStyle name="20% - Accent3 3 3 3 2" xfId="499"/>
    <cellStyle name="20% - Accent3 3 3 3 2 2" xfId="6580"/>
    <cellStyle name="20% - Accent3 3 3 3 2 2 2" xfId="14862"/>
    <cellStyle name="20% - Accent3 3 3 3 2 3" xfId="9074"/>
    <cellStyle name="20% - Accent3 3 3 3 2 3 2" xfId="17352"/>
    <cellStyle name="20% - Accent3 3 3 3 2 4" xfId="3322"/>
    <cellStyle name="20% - Accent3 3 3 3 2 5" xfId="11648"/>
    <cellStyle name="20% - Accent3 3 3 3 3" xfId="6579"/>
    <cellStyle name="20% - Accent3 3 3 3 3 2" xfId="14861"/>
    <cellStyle name="20% - Accent3 3 3 3 4" xfId="9073"/>
    <cellStyle name="20% - Accent3 3 3 3 4 2" xfId="17351"/>
    <cellStyle name="20% - Accent3 3 3 3 5" xfId="3321"/>
    <cellStyle name="20% - Accent3 3 3 3 6" xfId="11647"/>
    <cellStyle name="20% - Accent3 3 3 4" xfId="500"/>
    <cellStyle name="20% - Accent3 3 3 4 2" xfId="6581"/>
    <cellStyle name="20% - Accent3 3 3 4 2 2" xfId="14863"/>
    <cellStyle name="20% - Accent3 3 3 4 3" xfId="9075"/>
    <cellStyle name="20% - Accent3 3 3 4 3 2" xfId="17353"/>
    <cellStyle name="20% - Accent3 3 3 4 4" xfId="3323"/>
    <cellStyle name="20% - Accent3 3 3 4 5" xfId="11649"/>
    <cellStyle name="20% - Accent3 3 3 5" xfId="501"/>
    <cellStyle name="20% - Accent3 3 3 5 2" xfId="6582"/>
    <cellStyle name="20% - Accent3 3 3 5 2 2" xfId="14864"/>
    <cellStyle name="20% - Accent3 3 3 5 3" xfId="9076"/>
    <cellStyle name="20% - Accent3 3 3 5 3 2" xfId="17354"/>
    <cellStyle name="20% - Accent3 3 3 5 4" xfId="3324"/>
    <cellStyle name="20% - Accent3 3 3 5 5" xfId="11650"/>
    <cellStyle name="20% - Accent3 3 3 6" xfId="3325"/>
    <cellStyle name="20% - Accent3 3 3 6 2" xfId="11651"/>
    <cellStyle name="20% - Accent3 3 3 7" xfId="5957"/>
    <cellStyle name="20% - Accent3 3 3 7 2" xfId="14239"/>
    <cellStyle name="20% - Accent3 3 3 8" xfId="6576"/>
    <cellStyle name="20% - Accent3 3 3 8 2" xfId="14858"/>
    <cellStyle name="20% - Accent3 3 3 9" xfId="9070"/>
    <cellStyle name="20% - Accent3 3 3 9 2" xfId="17348"/>
    <cellStyle name="20% - Accent3 3 4" xfId="502"/>
    <cellStyle name="20% - Accent3 3 4 10" xfId="11652"/>
    <cellStyle name="20% - Accent3 3 4 2" xfId="503"/>
    <cellStyle name="20% - Accent3 3 4 2 2" xfId="504"/>
    <cellStyle name="20% - Accent3 3 4 2 2 2" xfId="6585"/>
    <cellStyle name="20% - Accent3 3 4 2 2 2 2" xfId="14867"/>
    <cellStyle name="20% - Accent3 3 4 2 2 3" xfId="9079"/>
    <cellStyle name="20% - Accent3 3 4 2 2 3 2" xfId="17357"/>
    <cellStyle name="20% - Accent3 3 4 2 2 4" xfId="3328"/>
    <cellStyle name="20% - Accent3 3 4 2 2 5" xfId="11654"/>
    <cellStyle name="20% - Accent3 3 4 2 3" xfId="6584"/>
    <cellStyle name="20% - Accent3 3 4 2 3 2" xfId="14866"/>
    <cellStyle name="20% - Accent3 3 4 2 4" xfId="9078"/>
    <cellStyle name="20% - Accent3 3 4 2 4 2" xfId="17356"/>
    <cellStyle name="20% - Accent3 3 4 2 5" xfId="3327"/>
    <cellStyle name="20% - Accent3 3 4 2 6" xfId="11653"/>
    <cellStyle name="20% - Accent3 3 4 3" xfId="505"/>
    <cellStyle name="20% - Accent3 3 4 3 2" xfId="6586"/>
    <cellStyle name="20% - Accent3 3 4 3 2 2" xfId="14868"/>
    <cellStyle name="20% - Accent3 3 4 3 3" xfId="9080"/>
    <cellStyle name="20% - Accent3 3 4 3 3 2" xfId="17358"/>
    <cellStyle name="20% - Accent3 3 4 3 4" xfId="3329"/>
    <cellStyle name="20% - Accent3 3 4 3 5" xfId="11655"/>
    <cellStyle name="20% - Accent3 3 4 4" xfId="506"/>
    <cellStyle name="20% - Accent3 3 4 4 2" xfId="6587"/>
    <cellStyle name="20% - Accent3 3 4 4 2 2" xfId="14869"/>
    <cellStyle name="20% - Accent3 3 4 4 3" xfId="9081"/>
    <cellStyle name="20% - Accent3 3 4 4 3 2" xfId="17359"/>
    <cellStyle name="20% - Accent3 3 4 4 4" xfId="3330"/>
    <cellStyle name="20% - Accent3 3 4 4 5" xfId="11656"/>
    <cellStyle name="20% - Accent3 3 4 5" xfId="3331"/>
    <cellStyle name="20% - Accent3 3 4 5 2" xfId="11657"/>
    <cellStyle name="20% - Accent3 3 4 6" xfId="5773"/>
    <cellStyle name="20% - Accent3 3 4 6 2" xfId="14055"/>
    <cellStyle name="20% - Accent3 3 4 7" xfId="6583"/>
    <cellStyle name="20% - Accent3 3 4 7 2" xfId="14865"/>
    <cellStyle name="20% - Accent3 3 4 8" xfId="9077"/>
    <cellStyle name="20% - Accent3 3 4 8 2" xfId="17355"/>
    <cellStyle name="20% - Accent3 3 4 9" xfId="3326"/>
    <cellStyle name="20% - Accent3 3 5" xfId="507"/>
    <cellStyle name="20% - Accent3 3 5 2" xfId="508"/>
    <cellStyle name="20% - Accent3 3 5 2 2" xfId="6589"/>
    <cellStyle name="20% - Accent3 3 5 2 2 2" xfId="14871"/>
    <cellStyle name="20% - Accent3 3 5 2 3" xfId="9083"/>
    <cellStyle name="20% - Accent3 3 5 2 3 2" xfId="17361"/>
    <cellStyle name="20% - Accent3 3 5 2 4" xfId="3333"/>
    <cellStyle name="20% - Accent3 3 5 2 5" xfId="11659"/>
    <cellStyle name="20% - Accent3 3 5 3" xfId="6588"/>
    <cellStyle name="20% - Accent3 3 5 3 2" xfId="14870"/>
    <cellStyle name="20% - Accent3 3 5 4" xfId="9082"/>
    <cellStyle name="20% - Accent3 3 5 4 2" xfId="17360"/>
    <cellStyle name="20% - Accent3 3 5 5" xfId="3332"/>
    <cellStyle name="20% - Accent3 3 5 6" xfId="11658"/>
    <cellStyle name="20% - Accent3 3 6" xfId="509"/>
    <cellStyle name="20% - Accent3 3 6 2" xfId="510"/>
    <cellStyle name="20% - Accent3 3 6 2 2" xfId="6591"/>
    <cellStyle name="20% - Accent3 3 6 2 2 2" xfId="14873"/>
    <cellStyle name="20% - Accent3 3 6 2 3" xfId="9085"/>
    <cellStyle name="20% - Accent3 3 6 2 3 2" xfId="17363"/>
    <cellStyle name="20% - Accent3 3 6 2 4" xfId="3335"/>
    <cellStyle name="20% - Accent3 3 6 2 5" xfId="11661"/>
    <cellStyle name="20% - Accent3 3 6 3" xfId="6590"/>
    <cellStyle name="20% - Accent3 3 6 3 2" xfId="14872"/>
    <cellStyle name="20% - Accent3 3 6 4" xfId="9084"/>
    <cellStyle name="20% - Accent3 3 6 4 2" xfId="17362"/>
    <cellStyle name="20% - Accent3 3 6 5" xfId="3334"/>
    <cellStyle name="20% - Accent3 3 6 6" xfId="11660"/>
    <cellStyle name="20% - Accent3 3 7" xfId="511"/>
    <cellStyle name="20% - Accent3 3 7 2" xfId="6592"/>
    <cellStyle name="20% - Accent3 3 7 2 2" xfId="14874"/>
    <cellStyle name="20% - Accent3 3 7 3" xfId="9086"/>
    <cellStyle name="20% - Accent3 3 7 3 2" xfId="17364"/>
    <cellStyle name="20% - Accent3 3 7 4" xfId="3336"/>
    <cellStyle name="20% - Accent3 3 7 5" xfId="11662"/>
    <cellStyle name="20% - Accent3 3 8" xfId="512"/>
    <cellStyle name="20% - Accent3 3 8 2" xfId="6593"/>
    <cellStyle name="20% - Accent3 3 8 2 2" xfId="14875"/>
    <cellStyle name="20% - Accent3 3 8 3" xfId="9087"/>
    <cellStyle name="20% - Accent3 3 8 3 2" xfId="17365"/>
    <cellStyle name="20% - Accent3 3 8 4" xfId="3337"/>
    <cellStyle name="20% - Accent3 3 8 5" xfId="11663"/>
    <cellStyle name="20% - Accent3 3 9" xfId="3338"/>
    <cellStyle name="20% - Accent3 3 9 2" xfId="11664"/>
    <cellStyle name="20% - Accent3 4" xfId="513"/>
    <cellStyle name="20% - Accent3 4 10" xfId="5685"/>
    <cellStyle name="20% - Accent3 4 10 2" xfId="13971"/>
    <cellStyle name="20% - Accent3 4 11" xfId="6594"/>
    <cellStyle name="20% - Accent3 4 11 2" xfId="14876"/>
    <cellStyle name="20% - Accent3 4 12" xfId="9088"/>
    <cellStyle name="20% - Accent3 4 12 2" xfId="17366"/>
    <cellStyle name="20% - Accent3 4 13" xfId="3339"/>
    <cellStyle name="20% - Accent3 4 14" xfId="11665"/>
    <cellStyle name="20% - Accent3 4 2" xfId="514"/>
    <cellStyle name="20% - Accent3 4 2 10" xfId="3340"/>
    <cellStyle name="20% - Accent3 4 2 11" xfId="11666"/>
    <cellStyle name="20% - Accent3 4 2 2" xfId="515"/>
    <cellStyle name="20% - Accent3 4 2 2 2" xfId="516"/>
    <cellStyle name="20% - Accent3 4 2 2 2 2" xfId="6597"/>
    <cellStyle name="20% - Accent3 4 2 2 2 2 2" xfId="14879"/>
    <cellStyle name="20% - Accent3 4 2 2 2 3" xfId="9091"/>
    <cellStyle name="20% - Accent3 4 2 2 2 3 2" xfId="17369"/>
    <cellStyle name="20% - Accent3 4 2 2 2 4" xfId="3342"/>
    <cellStyle name="20% - Accent3 4 2 2 2 5" xfId="11668"/>
    <cellStyle name="20% - Accent3 4 2 2 3" xfId="6596"/>
    <cellStyle name="20% - Accent3 4 2 2 3 2" xfId="14878"/>
    <cellStyle name="20% - Accent3 4 2 2 4" xfId="9090"/>
    <cellStyle name="20% - Accent3 4 2 2 4 2" xfId="17368"/>
    <cellStyle name="20% - Accent3 4 2 2 5" xfId="3341"/>
    <cellStyle name="20% - Accent3 4 2 2 6" xfId="11667"/>
    <cellStyle name="20% - Accent3 4 2 3" xfId="517"/>
    <cellStyle name="20% - Accent3 4 2 3 2" xfId="518"/>
    <cellStyle name="20% - Accent3 4 2 3 2 2" xfId="6599"/>
    <cellStyle name="20% - Accent3 4 2 3 2 2 2" xfId="14881"/>
    <cellStyle name="20% - Accent3 4 2 3 2 3" xfId="9093"/>
    <cellStyle name="20% - Accent3 4 2 3 2 3 2" xfId="17371"/>
    <cellStyle name="20% - Accent3 4 2 3 2 4" xfId="3344"/>
    <cellStyle name="20% - Accent3 4 2 3 2 5" xfId="11670"/>
    <cellStyle name="20% - Accent3 4 2 3 3" xfId="6598"/>
    <cellStyle name="20% - Accent3 4 2 3 3 2" xfId="14880"/>
    <cellStyle name="20% - Accent3 4 2 3 4" xfId="9092"/>
    <cellStyle name="20% - Accent3 4 2 3 4 2" xfId="17370"/>
    <cellStyle name="20% - Accent3 4 2 3 5" xfId="3343"/>
    <cellStyle name="20% - Accent3 4 2 3 6" xfId="11669"/>
    <cellStyle name="20% - Accent3 4 2 4" xfId="519"/>
    <cellStyle name="20% - Accent3 4 2 4 2" xfId="6600"/>
    <cellStyle name="20% - Accent3 4 2 4 2 2" xfId="14882"/>
    <cellStyle name="20% - Accent3 4 2 4 3" xfId="9094"/>
    <cellStyle name="20% - Accent3 4 2 4 3 2" xfId="17372"/>
    <cellStyle name="20% - Accent3 4 2 4 4" xfId="3345"/>
    <cellStyle name="20% - Accent3 4 2 4 5" xfId="11671"/>
    <cellStyle name="20% - Accent3 4 2 5" xfId="520"/>
    <cellStyle name="20% - Accent3 4 2 5 2" xfId="6601"/>
    <cellStyle name="20% - Accent3 4 2 5 2 2" xfId="14883"/>
    <cellStyle name="20% - Accent3 4 2 5 3" xfId="9095"/>
    <cellStyle name="20% - Accent3 4 2 5 3 2" xfId="17373"/>
    <cellStyle name="20% - Accent3 4 2 5 4" xfId="3346"/>
    <cellStyle name="20% - Accent3 4 2 5 5" xfId="11672"/>
    <cellStyle name="20% - Accent3 4 2 6" xfId="3347"/>
    <cellStyle name="20% - Accent3 4 2 6 2" xfId="11673"/>
    <cellStyle name="20% - Accent3 4 2 7" xfId="5887"/>
    <cellStyle name="20% - Accent3 4 2 7 2" xfId="14169"/>
    <cellStyle name="20% - Accent3 4 2 8" xfId="6595"/>
    <cellStyle name="20% - Accent3 4 2 8 2" xfId="14877"/>
    <cellStyle name="20% - Accent3 4 2 9" xfId="9089"/>
    <cellStyle name="20% - Accent3 4 2 9 2" xfId="17367"/>
    <cellStyle name="20% - Accent3 4 3" xfId="521"/>
    <cellStyle name="20% - Accent3 4 3 10" xfId="3348"/>
    <cellStyle name="20% - Accent3 4 3 11" xfId="11674"/>
    <cellStyle name="20% - Accent3 4 3 2" xfId="522"/>
    <cellStyle name="20% - Accent3 4 3 2 2" xfId="523"/>
    <cellStyle name="20% - Accent3 4 3 2 2 2" xfId="6604"/>
    <cellStyle name="20% - Accent3 4 3 2 2 2 2" xfId="14886"/>
    <cellStyle name="20% - Accent3 4 3 2 2 3" xfId="9098"/>
    <cellStyle name="20% - Accent3 4 3 2 2 3 2" xfId="17376"/>
    <cellStyle name="20% - Accent3 4 3 2 2 4" xfId="3350"/>
    <cellStyle name="20% - Accent3 4 3 2 2 5" xfId="11676"/>
    <cellStyle name="20% - Accent3 4 3 2 3" xfId="6603"/>
    <cellStyle name="20% - Accent3 4 3 2 3 2" xfId="14885"/>
    <cellStyle name="20% - Accent3 4 3 2 4" xfId="9097"/>
    <cellStyle name="20% - Accent3 4 3 2 4 2" xfId="17375"/>
    <cellStyle name="20% - Accent3 4 3 2 5" xfId="3349"/>
    <cellStyle name="20% - Accent3 4 3 2 6" xfId="11675"/>
    <cellStyle name="20% - Accent3 4 3 3" xfId="524"/>
    <cellStyle name="20% - Accent3 4 3 3 2" xfId="525"/>
    <cellStyle name="20% - Accent3 4 3 3 2 2" xfId="6606"/>
    <cellStyle name="20% - Accent3 4 3 3 2 2 2" xfId="14888"/>
    <cellStyle name="20% - Accent3 4 3 3 2 3" xfId="9100"/>
    <cellStyle name="20% - Accent3 4 3 3 2 3 2" xfId="17378"/>
    <cellStyle name="20% - Accent3 4 3 3 2 4" xfId="3352"/>
    <cellStyle name="20% - Accent3 4 3 3 2 5" xfId="11678"/>
    <cellStyle name="20% - Accent3 4 3 3 3" xfId="6605"/>
    <cellStyle name="20% - Accent3 4 3 3 3 2" xfId="14887"/>
    <cellStyle name="20% - Accent3 4 3 3 4" xfId="9099"/>
    <cellStyle name="20% - Accent3 4 3 3 4 2" xfId="17377"/>
    <cellStyle name="20% - Accent3 4 3 3 5" xfId="3351"/>
    <cellStyle name="20% - Accent3 4 3 3 6" xfId="11677"/>
    <cellStyle name="20% - Accent3 4 3 4" xfId="526"/>
    <cellStyle name="20% - Accent3 4 3 4 2" xfId="6607"/>
    <cellStyle name="20% - Accent3 4 3 4 2 2" xfId="14889"/>
    <cellStyle name="20% - Accent3 4 3 4 3" xfId="9101"/>
    <cellStyle name="20% - Accent3 4 3 4 3 2" xfId="17379"/>
    <cellStyle name="20% - Accent3 4 3 4 4" xfId="3353"/>
    <cellStyle name="20% - Accent3 4 3 4 5" xfId="11679"/>
    <cellStyle name="20% - Accent3 4 3 5" xfId="527"/>
    <cellStyle name="20% - Accent3 4 3 5 2" xfId="6608"/>
    <cellStyle name="20% - Accent3 4 3 5 2 2" xfId="14890"/>
    <cellStyle name="20% - Accent3 4 3 5 3" xfId="9102"/>
    <cellStyle name="20% - Accent3 4 3 5 3 2" xfId="17380"/>
    <cellStyle name="20% - Accent3 4 3 5 4" xfId="3354"/>
    <cellStyle name="20% - Accent3 4 3 5 5" xfId="11680"/>
    <cellStyle name="20% - Accent3 4 3 6" xfId="3355"/>
    <cellStyle name="20% - Accent3 4 3 6 2" xfId="11681"/>
    <cellStyle name="20% - Accent3 4 3 7" xfId="5985"/>
    <cellStyle name="20% - Accent3 4 3 7 2" xfId="14267"/>
    <cellStyle name="20% - Accent3 4 3 8" xfId="6602"/>
    <cellStyle name="20% - Accent3 4 3 8 2" xfId="14884"/>
    <cellStyle name="20% - Accent3 4 3 9" xfId="9096"/>
    <cellStyle name="20% - Accent3 4 3 9 2" xfId="17374"/>
    <cellStyle name="20% - Accent3 4 4" xfId="528"/>
    <cellStyle name="20% - Accent3 4 4 10" xfId="11682"/>
    <cellStyle name="20% - Accent3 4 4 2" xfId="529"/>
    <cellStyle name="20% - Accent3 4 4 2 2" xfId="530"/>
    <cellStyle name="20% - Accent3 4 4 2 2 2" xfId="6611"/>
    <cellStyle name="20% - Accent3 4 4 2 2 2 2" xfId="14893"/>
    <cellStyle name="20% - Accent3 4 4 2 2 3" xfId="9105"/>
    <cellStyle name="20% - Accent3 4 4 2 2 3 2" xfId="17383"/>
    <cellStyle name="20% - Accent3 4 4 2 2 4" xfId="3358"/>
    <cellStyle name="20% - Accent3 4 4 2 2 5" xfId="11684"/>
    <cellStyle name="20% - Accent3 4 4 2 3" xfId="6610"/>
    <cellStyle name="20% - Accent3 4 4 2 3 2" xfId="14892"/>
    <cellStyle name="20% - Accent3 4 4 2 4" xfId="9104"/>
    <cellStyle name="20% - Accent3 4 4 2 4 2" xfId="17382"/>
    <cellStyle name="20% - Accent3 4 4 2 5" xfId="3357"/>
    <cellStyle name="20% - Accent3 4 4 2 6" xfId="11683"/>
    <cellStyle name="20% - Accent3 4 4 3" xfId="531"/>
    <cellStyle name="20% - Accent3 4 4 3 2" xfId="6612"/>
    <cellStyle name="20% - Accent3 4 4 3 2 2" xfId="14894"/>
    <cellStyle name="20% - Accent3 4 4 3 3" xfId="9106"/>
    <cellStyle name="20% - Accent3 4 4 3 3 2" xfId="17384"/>
    <cellStyle name="20% - Accent3 4 4 3 4" xfId="3359"/>
    <cellStyle name="20% - Accent3 4 4 3 5" xfId="11685"/>
    <cellStyle name="20% - Accent3 4 4 4" xfId="532"/>
    <cellStyle name="20% - Accent3 4 4 4 2" xfId="6613"/>
    <cellStyle name="20% - Accent3 4 4 4 2 2" xfId="14895"/>
    <cellStyle name="20% - Accent3 4 4 4 3" xfId="9107"/>
    <cellStyle name="20% - Accent3 4 4 4 3 2" xfId="17385"/>
    <cellStyle name="20% - Accent3 4 4 4 4" xfId="3360"/>
    <cellStyle name="20% - Accent3 4 4 4 5" xfId="11686"/>
    <cellStyle name="20% - Accent3 4 4 5" xfId="3361"/>
    <cellStyle name="20% - Accent3 4 4 5 2" xfId="11687"/>
    <cellStyle name="20% - Accent3 4 4 6" xfId="5801"/>
    <cellStyle name="20% - Accent3 4 4 6 2" xfId="14083"/>
    <cellStyle name="20% - Accent3 4 4 7" xfId="6609"/>
    <cellStyle name="20% - Accent3 4 4 7 2" xfId="14891"/>
    <cellStyle name="20% - Accent3 4 4 8" xfId="9103"/>
    <cellStyle name="20% - Accent3 4 4 8 2" xfId="17381"/>
    <cellStyle name="20% - Accent3 4 4 9" xfId="3356"/>
    <cellStyle name="20% - Accent3 4 5" xfId="533"/>
    <cellStyle name="20% - Accent3 4 5 2" xfId="534"/>
    <cellStyle name="20% - Accent3 4 5 2 2" xfId="6615"/>
    <cellStyle name="20% - Accent3 4 5 2 2 2" xfId="14897"/>
    <cellStyle name="20% - Accent3 4 5 2 3" xfId="9109"/>
    <cellStyle name="20% - Accent3 4 5 2 3 2" xfId="17387"/>
    <cellStyle name="20% - Accent3 4 5 2 4" xfId="3363"/>
    <cellStyle name="20% - Accent3 4 5 2 5" xfId="11689"/>
    <cellStyle name="20% - Accent3 4 5 3" xfId="6614"/>
    <cellStyle name="20% - Accent3 4 5 3 2" xfId="14896"/>
    <cellStyle name="20% - Accent3 4 5 4" xfId="9108"/>
    <cellStyle name="20% - Accent3 4 5 4 2" xfId="17386"/>
    <cellStyle name="20% - Accent3 4 5 5" xfId="3362"/>
    <cellStyle name="20% - Accent3 4 5 6" xfId="11688"/>
    <cellStyle name="20% - Accent3 4 6" xfId="535"/>
    <cellStyle name="20% - Accent3 4 6 2" xfId="536"/>
    <cellStyle name="20% - Accent3 4 6 2 2" xfId="6617"/>
    <cellStyle name="20% - Accent3 4 6 2 2 2" xfId="14899"/>
    <cellStyle name="20% - Accent3 4 6 2 3" xfId="9111"/>
    <cellStyle name="20% - Accent3 4 6 2 3 2" xfId="17389"/>
    <cellStyle name="20% - Accent3 4 6 2 4" xfId="3365"/>
    <cellStyle name="20% - Accent3 4 6 2 5" xfId="11691"/>
    <cellStyle name="20% - Accent3 4 6 3" xfId="6616"/>
    <cellStyle name="20% - Accent3 4 6 3 2" xfId="14898"/>
    <cellStyle name="20% - Accent3 4 6 4" xfId="9110"/>
    <cellStyle name="20% - Accent3 4 6 4 2" xfId="17388"/>
    <cellStyle name="20% - Accent3 4 6 5" xfId="3364"/>
    <cellStyle name="20% - Accent3 4 6 6" xfId="11690"/>
    <cellStyle name="20% - Accent3 4 7" xfId="537"/>
    <cellStyle name="20% - Accent3 4 7 2" xfId="6618"/>
    <cellStyle name="20% - Accent3 4 7 2 2" xfId="14900"/>
    <cellStyle name="20% - Accent3 4 7 3" xfId="9112"/>
    <cellStyle name="20% - Accent3 4 7 3 2" xfId="17390"/>
    <cellStyle name="20% - Accent3 4 7 4" xfId="3366"/>
    <cellStyle name="20% - Accent3 4 7 5" xfId="11692"/>
    <cellStyle name="20% - Accent3 4 8" xfId="538"/>
    <cellStyle name="20% - Accent3 4 8 2" xfId="6619"/>
    <cellStyle name="20% - Accent3 4 8 2 2" xfId="14901"/>
    <cellStyle name="20% - Accent3 4 8 3" xfId="9113"/>
    <cellStyle name="20% - Accent3 4 8 3 2" xfId="17391"/>
    <cellStyle name="20% - Accent3 4 8 4" xfId="3367"/>
    <cellStyle name="20% - Accent3 4 8 5" xfId="11693"/>
    <cellStyle name="20% - Accent3 4 9" xfId="3368"/>
    <cellStyle name="20% - Accent3 4 9 2" xfId="11694"/>
    <cellStyle name="20% - Accent3 5" xfId="539"/>
    <cellStyle name="20% - Accent3 5 10" xfId="3369"/>
    <cellStyle name="20% - Accent3 5 11" xfId="11695"/>
    <cellStyle name="20% - Accent3 5 2" xfId="540"/>
    <cellStyle name="20% - Accent3 5 2 2" xfId="541"/>
    <cellStyle name="20% - Accent3 5 2 2 2" xfId="6622"/>
    <cellStyle name="20% - Accent3 5 2 2 2 2" xfId="14904"/>
    <cellStyle name="20% - Accent3 5 2 2 3" xfId="9116"/>
    <cellStyle name="20% - Accent3 5 2 2 3 2" xfId="17394"/>
    <cellStyle name="20% - Accent3 5 2 2 4" xfId="3371"/>
    <cellStyle name="20% - Accent3 5 2 2 5" xfId="11697"/>
    <cellStyle name="20% - Accent3 5 2 3" xfId="6621"/>
    <cellStyle name="20% - Accent3 5 2 3 2" xfId="14903"/>
    <cellStyle name="20% - Accent3 5 2 4" xfId="9115"/>
    <cellStyle name="20% - Accent3 5 2 4 2" xfId="17393"/>
    <cellStyle name="20% - Accent3 5 2 5" xfId="3370"/>
    <cellStyle name="20% - Accent3 5 2 6" xfId="11696"/>
    <cellStyle name="20% - Accent3 5 3" xfId="542"/>
    <cellStyle name="20% - Accent3 5 3 2" xfId="543"/>
    <cellStyle name="20% - Accent3 5 3 2 2" xfId="6624"/>
    <cellStyle name="20% - Accent3 5 3 2 2 2" xfId="14906"/>
    <cellStyle name="20% - Accent3 5 3 2 3" xfId="9118"/>
    <cellStyle name="20% - Accent3 5 3 2 3 2" xfId="17396"/>
    <cellStyle name="20% - Accent3 5 3 2 4" xfId="3373"/>
    <cellStyle name="20% - Accent3 5 3 2 5" xfId="11699"/>
    <cellStyle name="20% - Accent3 5 3 3" xfId="6623"/>
    <cellStyle name="20% - Accent3 5 3 3 2" xfId="14905"/>
    <cellStyle name="20% - Accent3 5 3 4" xfId="9117"/>
    <cellStyle name="20% - Accent3 5 3 4 2" xfId="17395"/>
    <cellStyle name="20% - Accent3 5 3 5" xfId="3372"/>
    <cellStyle name="20% - Accent3 5 3 6" xfId="11698"/>
    <cellStyle name="20% - Accent3 5 4" xfId="544"/>
    <cellStyle name="20% - Accent3 5 4 2" xfId="6625"/>
    <cellStyle name="20% - Accent3 5 4 2 2" xfId="14907"/>
    <cellStyle name="20% - Accent3 5 4 3" xfId="9119"/>
    <cellStyle name="20% - Accent3 5 4 3 2" xfId="17397"/>
    <cellStyle name="20% - Accent3 5 4 4" xfId="3374"/>
    <cellStyle name="20% - Accent3 5 4 5" xfId="11700"/>
    <cellStyle name="20% - Accent3 5 5" xfId="545"/>
    <cellStyle name="20% - Accent3 5 5 2" xfId="6626"/>
    <cellStyle name="20% - Accent3 5 5 2 2" xfId="14908"/>
    <cellStyle name="20% - Accent3 5 5 3" xfId="9120"/>
    <cellStyle name="20% - Accent3 5 5 3 2" xfId="17398"/>
    <cellStyle name="20% - Accent3 5 5 4" xfId="3375"/>
    <cellStyle name="20% - Accent3 5 5 5" xfId="11701"/>
    <cellStyle name="20% - Accent3 5 6" xfId="3376"/>
    <cellStyle name="20% - Accent3 5 6 2" xfId="11702"/>
    <cellStyle name="20% - Accent3 5 7" xfId="5744"/>
    <cellStyle name="20% - Accent3 5 7 2" xfId="14029"/>
    <cellStyle name="20% - Accent3 5 8" xfId="6620"/>
    <cellStyle name="20% - Accent3 5 8 2" xfId="14902"/>
    <cellStyle name="20% - Accent3 5 9" xfId="9114"/>
    <cellStyle name="20% - Accent3 5 9 2" xfId="17392"/>
    <cellStyle name="20% - Accent3 6" xfId="546"/>
    <cellStyle name="20% - Accent3 6 10" xfId="3377"/>
    <cellStyle name="20% - Accent3 6 11" xfId="11703"/>
    <cellStyle name="20% - Accent3 6 2" xfId="547"/>
    <cellStyle name="20% - Accent3 6 2 2" xfId="548"/>
    <cellStyle name="20% - Accent3 6 2 2 2" xfId="6629"/>
    <cellStyle name="20% - Accent3 6 2 2 2 2" xfId="14911"/>
    <cellStyle name="20% - Accent3 6 2 2 3" xfId="9123"/>
    <cellStyle name="20% - Accent3 6 2 2 3 2" xfId="17401"/>
    <cellStyle name="20% - Accent3 6 2 2 4" xfId="3379"/>
    <cellStyle name="20% - Accent3 6 2 2 5" xfId="11705"/>
    <cellStyle name="20% - Accent3 6 2 3" xfId="6628"/>
    <cellStyle name="20% - Accent3 6 2 3 2" xfId="14910"/>
    <cellStyle name="20% - Accent3 6 2 4" xfId="9122"/>
    <cellStyle name="20% - Accent3 6 2 4 2" xfId="17400"/>
    <cellStyle name="20% - Accent3 6 2 5" xfId="3378"/>
    <cellStyle name="20% - Accent3 6 2 6" xfId="11704"/>
    <cellStyle name="20% - Accent3 6 3" xfId="549"/>
    <cellStyle name="20% - Accent3 6 3 2" xfId="550"/>
    <cellStyle name="20% - Accent3 6 3 2 2" xfId="6631"/>
    <cellStyle name="20% - Accent3 6 3 2 2 2" xfId="14913"/>
    <cellStyle name="20% - Accent3 6 3 2 3" xfId="9125"/>
    <cellStyle name="20% - Accent3 6 3 2 3 2" xfId="17403"/>
    <cellStyle name="20% - Accent3 6 3 2 4" xfId="3381"/>
    <cellStyle name="20% - Accent3 6 3 2 5" xfId="11707"/>
    <cellStyle name="20% - Accent3 6 3 3" xfId="6630"/>
    <cellStyle name="20% - Accent3 6 3 3 2" xfId="14912"/>
    <cellStyle name="20% - Accent3 6 3 4" xfId="9124"/>
    <cellStyle name="20% - Accent3 6 3 4 2" xfId="17402"/>
    <cellStyle name="20% - Accent3 6 3 5" xfId="3380"/>
    <cellStyle name="20% - Accent3 6 3 6" xfId="11706"/>
    <cellStyle name="20% - Accent3 6 4" xfId="551"/>
    <cellStyle name="20% - Accent3 6 4 2" xfId="6632"/>
    <cellStyle name="20% - Accent3 6 4 2 2" xfId="14914"/>
    <cellStyle name="20% - Accent3 6 4 3" xfId="9126"/>
    <cellStyle name="20% - Accent3 6 4 3 2" xfId="17404"/>
    <cellStyle name="20% - Accent3 6 4 4" xfId="3382"/>
    <cellStyle name="20% - Accent3 6 4 5" xfId="11708"/>
    <cellStyle name="20% - Accent3 6 5" xfId="552"/>
    <cellStyle name="20% - Accent3 6 5 2" xfId="6633"/>
    <cellStyle name="20% - Accent3 6 5 2 2" xfId="14915"/>
    <cellStyle name="20% - Accent3 6 5 3" xfId="9127"/>
    <cellStyle name="20% - Accent3 6 5 3 2" xfId="17405"/>
    <cellStyle name="20% - Accent3 6 5 4" xfId="3383"/>
    <cellStyle name="20% - Accent3 6 5 5" xfId="11709"/>
    <cellStyle name="20% - Accent3 6 6" xfId="3384"/>
    <cellStyle name="20% - Accent3 6 6 2" xfId="11710"/>
    <cellStyle name="20% - Accent3 6 7" xfId="5833"/>
    <cellStyle name="20% - Accent3 6 7 2" xfId="14115"/>
    <cellStyle name="20% - Accent3 6 8" xfId="6627"/>
    <cellStyle name="20% - Accent3 6 8 2" xfId="14909"/>
    <cellStyle name="20% - Accent3 6 9" xfId="9121"/>
    <cellStyle name="20% - Accent3 6 9 2" xfId="17399"/>
    <cellStyle name="20% - Accent3 7" xfId="553"/>
    <cellStyle name="20% - Accent3 7 10" xfId="3385"/>
    <cellStyle name="20% - Accent3 7 11" xfId="11711"/>
    <cellStyle name="20% - Accent3 7 2" xfId="554"/>
    <cellStyle name="20% - Accent3 7 2 2" xfId="555"/>
    <cellStyle name="20% - Accent3 7 2 2 2" xfId="6636"/>
    <cellStyle name="20% - Accent3 7 2 2 2 2" xfId="14918"/>
    <cellStyle name="20% - Accent3 7 2 2 3" xfId="9130"/>
    <cellStyle name="20% - Accent3 7 2 2 3 2" xfId="17408"/>
    <cellStyle name="20% - Accent3 7 2 2 4" xfId="3387"/>
    <cellStyle name="20% - Accent3 7 2 2 5" xfId="11713"/>
    <cellStyle name="20% - Accent3 7 2 3" xfId="6635"/>
    <cellStyle name="20% - Accent3 7 2 3 2" xfId="14917"/>
    <cellStyle name="20% - Accent3 7 2 4" xfId="9129"/>
    <cellStyle name="20% - Accent3 7 2 4 2" xfId="17407"/>
    <cellStyle name="20% - Accent3 7 2 5" xfId="3386"/>
    <cellStyle name="20% - Accent3 7 2 6" xfId="11712"/>
    <cellStyle name="20% - Accent3 7 3" xfId="556"/>
    <cellStyle name="20% - Accent3 7 3 2" xfId="557"/>
    <cellStyle name="20% - Accent3 7 3 2 2" xfId="6638"/>
    <cellStyle name="20% - Accent3 7 3 2 2 2" xfId="14920"/>
    <cellStyle name="20% - Accent3 7 3 2 3" xfId="9132"/>
    <cellStyle name="20% - Accent3 7 3 2 3 2" xfId="17410"/>
    <cellStyle name="20% - Accent3 7 3 2 4" xfId="3389"/>
    <cellStyle name="20% - Accent3 7 3 2 5" xfId="11715"/>
    <cellStyle name="20% - Accent3 7 3 3" xfId="6637"/>
    <cellStyle name="20% - Accent3 7 3 3 2" xfId="14919"/>
    <cellStyle name="20% - Accent3 7 3 4" xfId="9131"/>
    <cellStyle name="20% - Accent3 7 3 4 2" xfId="17409"/>
    <cellStyle name="20% - Accent3 7 3 5" xfId="3388"/>
    <cellStyle name="20% - Accent3 7 3 6" xfId="11714"/>
    <cellStyle name="20% - Accent3 7 4" xfId="558"/>
    <cellStyle name="20% - Accent3 7 4 2" xfId="6639"/>
    <cellStyle name="20% - Accent3 7 4 2 2" xfId="14921"/>
    <cellStyle name="20% - Accent3 7 4 3" xfId="9133"/>
    <cellStyle name="20% - Accent3 7 4 3 2" xfId="17411"/>
    <cellStyle name="20% - Accent3 7 4 4" xfId="3390"/>
    <cellStyle name="20% - Accent3 7 4 5" xfId="11716"/>
    <cellStyle name="20% - Accent3 7 5" xfId="559"/>
    <cellStyle name="20% - Accent3 7 5 2" xfId="6640"/>
    <cellStyle name="20% - Accent3 7 5 2 2" xfId="14922"/>
    <cellStyle name="20% - Accent3 7 5 3" xfId="9134"/>
    <cellStyle name="20% - Accent3 7 5 3 2" xfId="17412"/>
    <cellStyle name="20% - Accent3 7 5 4" xfId="3391"/>
    <cellStyle name="20% - Accent3 7 5 5" xfId="11717"/>
    <cellStyle name="20% - Accent3 7 6" xfId="3392"/>
    <cellStyle name="20% - Accent3 7 6 2" xfId="11718"/>
    <cellStyle name="20% - Accent3 7 7" xfId="5919"/>
    <cellStyle name="20% - Accent3 7 7 2" xfId="14201"/>
    <cellStyle name="20% - Accent3 7 8" xfId="6634"/>
    <cellStyle name="20% - Accent3 7 8 2" xfId="14916"/>
    <cellStyle name="20% - Accent3 7 9" xfId="9128"/>
    <cellStyle name="20% - Accent3 7 9 2" xfId="17406"/>
    <cellStyle name="20% - Accent3 8" xfId="560"/>
    <cellStyle name="20% - Accent3 8 10" xfId="3393"/>
    <cellStyle name="20% - Accent3 8 11" xfId="11719"/>
    <cellStyle name="20% - Accent3 8 2" xfId="561"/>
    <cellStyle name="20% - Accent3 8 2 2" xfId="562"/>
    <cellStyle name="20% - Accent3 8 2 2 2" xfId="6643"/>
    <cellStyle name="20% - Accent3 8 2 2 2 2" xfId="14925"/>
    <cellStyle name="20% - Accent3 8 2 2 3" xfId="9137"/>
    <cellStyle name="20% - Accent3 8 2 2 3 2" xfId="17415"/>
    <cellStyle name="20% - Accent3 8 2 2 4" xfId="3395"/>
    <cellStyle name="20% - Accent3 8 2 2 5" xfId="11721"/>
    <cellStyle name="20% - Accent3 8 2 3" xfId="6642"/>
    <cellStyle name="20% - Accent3 8 2 3 2" xfId="14924"/>
    <cellStyle name="20% - Accent3 8 2 4" xfId="9136"/>
    <cellStyle name="20% - Accent3 8 2 4 2" xfId="17414"/>
    <cellStyle name="20% - Accent3 8 2 5" xfId="3394"/>
    <cellStyle name="20% - Accent3 8 2 6" xfId="11720"/>
    <cellStyle name="20% - Accent3 8 3" xfId="563"/>
    <cellStyle name="20% - Accent3 8 3 2" xfId="564"/>
    <cellStyle name="20% - Accent3 8 3 2 2" xfId="6645"/>
    <cellStyle name="20% - Accent3 8 3 2 2 2" xfId="14927"/>
    <cellStyle name="20% - Accent3 8 3 2 3" xfId="9139"/>
    <cellStyle name="20% - Accent3 8 3 2 3 2" xfId="17417"/>
    <cellStyle name="20% - Accent3 8 3 2 4" xfId="3397"/>
    <cellStyle name="20% - Accent3 8 3 2 5" xfId="11723"/>
    <cellStyle name="20% - Accent3 8 3 3" xfId="6644"/>
    <cellStyle name="20% - Accent3 8 3 3 2" xfId="14926"/>
    <cellStyle name="20% - Accent3 8 3 4" xfId="9138"/>
    <cellStyle name="20% - Accent3 8 3 4 2" xfId="17416"/>
    <cellStyle name="20% - Accent3 8 3 5" xfId="3396"/>
    <cellStyle name="20% - Accent3 8 3 6" xfId="11722"/>
    <cellStyle name="20% - Accent3 8 4" xfId="565"/>
    <cellStyle name="20% - Accent3 8 4 2" xfId="6646"/>
    <cellStyle name="20% - Accent3 8 4 2 2" xfId="14928"/>
    <cellStyle name="20% - Accent3 8 4 3" xfId="9140"/>
    <cellStyle name="20% - Accent3 8 4 3 2" xfId="17418"/>
    <cellStyle name="20% - Accent3 8 4 4" xfId="3398"/>
    <cellStyle name="20% - Accent3 8 4 5" xfId="11724"/>
    <cellStyle name="20% - Accent3 8 5" xfId="566"/>
    <cellStyle name="20% - Accent3 8 5 2" xfId="6647"/>
    <cellStyle name="20% - Accent3 8 5 2 2" xfId="14929"/>
    <cellStyle name="20% - Accent3 8 5 3" xfId="9141"/>
    <cellStyle name="20% - Accent3 8 5 3 2" xfId="17419"/>
    <cellStyle name="20% - Accent3 8 5 4" xfId="3399"/>
    <cellStyle name="20% - Accent3 8 5 5" xfId="11725"/>
    <cellStyle name="20% - Accent3 8 6" xfId="3400"/>
    <cellStyle name="20% - Accent3 8 6 2" xfId="11726"/>
    <cellStyle name="20% - Accent3 8 7" xfId="5931"/>
    <cellStyle name="20% - Accent3 8 7 2" xfId="14213"/>
    <cellStyle name="20% - Accent3 8 8" xfId="6641"/>
    <cellStyle name="20% - Accent3 8 8 2" xfId="14923"/>
    <cellStyle name="20% - Accent3 8 9" xfId="9135"/>
    <cellStyle name="20% - Accent3 8 9 2" xfId="17413"/>
    <cellStyle name="20% - Accent3 9" xfId="567"/>
    <cellStyle name="20% - Accent3 9 10" xfId="3401"/>
    <cellStyle name="20% - Accent3 9 11" xfId="11727"/>
    <cellStyle name="20% - Accent3 9 2" xfId="568"/>
    <cellStyle name="20% - Accent3 9 2 2" xfId="569"/>
    <cellStyle name="20% - Accent3 9 2 2 2" xfId="6650"/>
    <cellStyle name="20% - Accent3 9 2 2 2 2" xfId="14932"/>
    <cellStyle name="20% - Accent3 9 2 2 3" xfId="9144"/>
    <cellStyle name="20% - Accent3 9 2 2 3 2" xfId="17422"/>
    <cellStyle name="20% - Accent3 9 2 2 4" xfId="3403"/>
    <cellStyle name="20% - Accent3 9 2 2 5" xfId="11729"/>
    <cellStyle name="20% - Accent3 9 2 3" xfId="6649"/>
    <cellStyle name="20% - Accent3 9 2 3 2" xfId="14931"/>
    <cellStyle name="20% - Accent3 9 2 4" xfId="9143"/>
    <cellStyle name="20% - Accent3 9 2 4 2" xfId="17421"/>
    <cellStyle name="20% - Accent3 9 2 5" xfId="3402"/>
    <cellStyle name="20% - Accent3 9 2 6" xfId="11728"/>
    <cellStyle name="20% - Accent3 9 3" xfId="570"/>
    <cellStyle name="20% - Accent3 9 3 2" xfId="571"/>
    <cellStyle name="20% - Accent3 9 3 2 2" xfId="6652"/>
    <cellStyle name="20% - Accent3 9 3 2 2 2" xfId="14934"/>
    <cellStyle name="20% - Accent3 9 3 2 3" xfId="9146"/>
    <cellStyle name="20% - Accent3 9 3 2 3 2" xfId="17424"/>
    <cellStyle name="20% - Accent3 9 3 2 4" xfId="3405"/>
    <cellStyle name="20% - Accent3 9 3 2 5" xfId="11731"/>
    <cellStyle name="20% - Accent3 9 3 3" xfId="6651"/>
    <cellStyle name="20% - Accent3 9 3 3 2" xfId="14933"/>
    <cellStyle name="20% - Accent3 9 3 4" xfId="9145"/>
    <cellStyle name="20% - Accent3 9 3 4 2" xfId="17423"/>
    <cellStyle name="20% - Accent3 9 3 5" xfId="3404"/>
    <cellStyle name="20% - Accent3 9 3 6" xfId="11730"/>
    <cellStyle name="20% - Accent3 9 4" xfId="572"/>
    <cellStyle name="20% - Accent3 9 4 2" xfId="6653"/>
    <cellStyle name="20% - Accent3 9 4 2 2" xfId="14935"/>
    <cellStyle name="20% - Accent3 9 4 3" xfId="9147"/>
    <cellStyle name="20% - Accent3 9 4 3 2" xfId="17425"/>
    <cellStyle name="20% - Accent3 9 4 4" xfId="3406"/>
    <cellStyle name="20% - Accent3 9 4 5" xfId="11732"/>
    <cellStyle name="20% - Accent3 9 5" xfId="573"/>
    <cellStyle name="20% - Accent3 9 5 2" xfId="6654"/>
    <cellStyle name="20% - Accent3 9 5 2 2" xfId="14936"/>
    <cellStyle name="20% - Accent3 9 5 3" xfId="9148"/>
    <cellStyle name="20% - Accent3 9 5 3 2" xfId="17426"/>
    <cellStyle name="20% - Accent3 9 5 4" xfId="3407"/>
    <cellStyle name="20% - Accent3 9 5 5" xfId="11733"/>
    <cellStyle name="20% - Accent3 9 6" xfId="3408"/>
    <cellStyle name="20% - Accent3 9 6 2" xfId="11734"/>
    <cellStyle name="20% - Accent3 9 7" xfId="6017"/>
    <cellStyle name="20% - Accent3 9 7 2" xfId="14299"/>
    <cellStyle name="20% - Accent3 9 8" xfId="6648"/>
    <cellStyle name="20% - Accent3 9 8 2" xfId="14930"/>
    <cellStyle name="20% - Accent3 9 9" xfId="9142"/>
    <cellStyle name="20% - Accent3 9 9 2" xfId="17420"/>
    <cellStyle name="20% - Accent4" xfId="574" builtinId="42" customBuiltin="1"/>
    <cellStyle name="20% - Accent4 10" xfId="575"/>
    <cellStyle name="20% - Accent4 10 10" xfId="3410"/>
    <cellStyle name="20% - Accent4 10 11" xfId="11736"/>
    <cellStyle name="20% - Accent4 10 2" xfId="576"/>
    <cellStyle name="20% - Accent4 10 2 2" xfId="577"/>
    <cellStyle name="20% - Accent4 10 2 2 2" xfId="6658"/>
    <cellStyle name="20% - Accent4 10 2 2 2 2" xfId="14940"/>
    <cellStyle name="20% - Accent4 10 2 2 3" xfId="9152"/>
    <cellStyle name="20% - Accent4 10 2 2 3 2" xfId="17430"/>
    <cellStyle name="20% - Accent4 10 2 2 4" xfId="3412"/>
    <cellStyle name="20% - Accent4 10 2 2 5" xfId="11738"/>
    <cellStyle name="20% - Accent4 10 2 3" xfId="6657"/>
    <cellStyle name="20% - Accent4 10 2 3 2" xfId="14939"/>
    <cellStyle name="20% - Accent4 10 2 4" xfId="9151"/>
    <cellStyle name="20% - Accent4 10 2 4 2" xfId="17429"/>
    <cellStyle name="20% - Accent4 10 2 5" xfId="3411"/>
    <cellStyle name="20% - Accent4 10 2 6" xfId="11737"/>
    <cellStyle name="20% - Accent4 10 3" xfId="578"/>
    <cellStyle name="20% - Accent4 10 3 2" xfId="579"/>
    <cellStyle name="20% - Accent4 10 3 2 2" xfId="6660"/>
    <cellStyle name="20% - Accent4 10 3 2 2 2" xfId="14942"/>
    <cellStyle name="20% - Accent4 10 3 2 3" xfId="9154"/>
    <cellStyle name="20% - Accent4 10 3 2 3 2" xfId="17432"/>
    <cellStyle name="20% - Accent4 10 3 2 4" xfId="3414"/>
    <cellStyle name="20% - Accent4 10 3 2 5" xfId="11740"/>
    <cellStyle name="20% - Accent4 10 3 3" xfId="6659"/>
    <cellStyle name="20% - Accent4 10 3 3 2" xfId="14941"/>
    <cellStyle name="20% - Accent4 10 3 4" xfId="9153"/>
    <cellStyle name="20% - Accent4 10 3 4 2" xfId="17431"/>
    <cellStyle name="20% - Accent4 10 3 5" xfId="3413"/>
    <cellStyle name="20% - Accent4 10 3 6" xfId="11739"/>
    <cellStyle name="20% - Accent4 10 4" xfId="580"/>
    <cellStyle name="20% - Accent4 10 4 2" xfId="6661"/>
    <cellStyle name="20% - Accent4 10 4 2 2" xfId="14943"/>
    <cellStyle name="20% - Accent4 10 4 3" xfId="9155"/>
    <cellStyle name="20% - Accent4 10 4 3 2" xfId="17433"/>
    <cellStyle name="20% - Accent4 10 4 4" xfId="3415"/>
    <cellStyle name="20% - Accent4 10 4 5" xfId="11741"/>
    <cellStyle name="20% - Accent4 10 5" xfId="581"/>
    <cellStyle name="20% - Accent4 10 5 2" xfId="6662"/>
    <cellStyle name="20% - Accent4 10 5 2 2" xfId="14944"/>
    <cellStyle name="20% - Accent4 10 5 3" xfId="9156"/>
    <cellStyle name="20% - Accent4 10 5 3 2" xfId="17434"/>
    <cellStyle name="20% - Accent4 10 5 4" xfId="3416"/>
    <cellStyle name="20% - Accent4 10 5 5" xfId="11742"/>
    <cellStyle name="20% - Accent4 10 6" xfId="3417"/>
    <cellStyle name="20% - Accent4 10 6 2" xfId="11743"/>
    <cellStyle name="20% - Accent4 10 7" xfId="6033"/>
    <cellStyle name="20% - Accent4 10 7 2" xfId="14315"/>
    <cellStyle name="20% - Accent4 10 8" xfId="6656"/>
    <cellStyle name="20% - Accent4 10 8 2" xfId="14938"/>
    <cellStyle name="20% - Accent4 10 9" xfId="9150"/>
    <cellStyle name="20% - Accent4 10 9 2" xfId="17428"/>
    <cellStyle name="20% - Accent4 11" xfId="582"/>
    <cellStyle name="20% - Accent4 11 10" xfId="11744"/>
    <cellStyle name="20% - Accent4 11 2" xfId="583"/>
    <cellStyle name="20% - Accent4 11 2 2" xfId="584"/>
    <cellStyle name="20% - Accent4 11 2 2 2" xfId="6665"/>
    <cellStyle name="20% - Accent4 11 2 2 2 2" xfId="14947"/>
    <cellStyle name="20% - Accent4 11 2 2 3" xfId="9159"/>
    <cellStyle name="20% - Accent4 11 2 2 3 2" xfId="17437"/>
    <cellStyle name="20% - Accent4 11 2 2 4" xfId="3420"/>
    <cellStyle name="20% - Accent4 11 2 2 5" xfId="11746"/>
    <cellStyle name="20% - Accent4 11 2 3" xfId="6664"/>
    <cellStyle name="20% - Accent4 11 2 3 2" xfId="14946"/>
    <cellStyle name="20% - Accent4 11 2 4" xfId="9158"/>
    <cellStyle name="20% - Accent4 11 2 4 2" xfId="17436"/>
    <cellStyle name="20% - Accent4 11 2 5" xfId="3419"/>
    <cellStyle name="20% - Accent4 11 2 6" xfId="11745"/>
    <cellStyle name="20% - Accent4 11 3" xfId="585"/>
    <cellStyle name="20% - Accent4 11 3 2" xfId="6666"/>
    <cellStyle name="20% - Accent4 11 3 2 2" xfId="14948"/>
    <cellStyle name="20% - Accent4 11 3 3" xfId="9160"/>
    <cellStyle name="20% - Accent4 11 3 3 2" xfId="17438"/>
    <cellStyle name="20% - Accent4 11 3 4" xfId="3421"/>
    <cellStyle name="20% - Accent4 11 3 5" xfId="11747"/>
    <cellStyle name="20% - Accent4 11 4" xfId="586"/>
    <cellStyle name="20% - Accent4 11 4 2" xfId="6667"/>
    <cellStyle name="20% - Accent4 11 4 2 2" xfId="14949"/>
    <cellStyle name="20% - Accent4 11 4 3" xfId="9161"/>
    <cellStyle name="20% - Accent4 11 4 3 2" xfId="17439"/>
    <cellStyle name="20% - Accent4 11 4 4" xfId="3422"/>
    <cellStyle name="20% - Accent4 11 4 5" xfId="11748"/>
    <cellStyle name="20% - Accent4 11 5" xfId="3423"/>
    <cellStyle name="20% - Accent4 11 5 2" xfId="11749"/>
    <cellStyle name="20% - Accent4 11 6" xfId="5714"/>
    <cellStyle name="20% - Accent4 11 6 2" xfId="14000"/>
    <cellStyle name="20% - Accent4 11 7" xfId="6663"/>
    <cellStyle name="20% - Accent4 11 7 2" xfId="14945"/>
    <cellStyle name="20% - Accent4 11 8" xfId="9157"/>
    <cellStyle name="20% - Accent4 11 8 2" xfId="17435"/>
    <cellStyle name="20% - Accent4 11 9" xfId="3418"/>
    <cellStyle name="20% - Accent4 12" xfId="587"/>
    <cellStyle name="20% - Accent4 12 2" xfId="588"/>
    <cellStyle name="20% - Accent4 12 2 2" xfId="6669"/>
    <cellStyle name="20% - Accent4 12 2 2 2" xfId="14951"/>
    <cellStyle name="20% - Accent4 12 2 3" xfId="9163"/>
    <cellStyle name="20% - Accent4 12 2 3 2" xfId="17441"/>
    <cellStyle name="20% - Accent4 12 2 4" xfId="3425"/>
    <cellStyle name="20% - Accent4 12 2 5" xfId="11751"/>
    <cellStyle name="20% - Accent4 12 3" xfId="3426"/>
    <cellStyle name="20% - Accent4 12 3 2" xfId="11752"/>
    <cellStyle name="20% - Accent4 12 4" xfId="6048"/>
    <cellStyle name="20% - Accent4 12 4 2" xfId="14330"/>
    <cellStyle name="20% - Accent4 12 5" xfId="6668"/>
    <cellStyle name="20% - Accent4 12 5 2" xfId="14950"/>
    <cellStyle name="20% - Accent4 12 6" xfId="9162"/>
    <cellStyle name="20% - Accent4 12 6 2" xfId="17440"/>
    <cellStyle name="20% - Accent4 12 7" xfId="3424"/>
    <cellStyle name="20% - Accent4 12 8" xfId="11750"/>
    <cellStyle name="20% - Accent4 13" xfId="589"/>
    <cellStyle name="20% - Accent4 13 2" xfId="590"/>
    <cellStyle name="20% - Accent4 13 2 2" xfId="6671"/>
    <cellStyle name="20% - Accent4 13 2 2 2" xfId="14953"/>
    <cellStyle name="20% - Accent4 13 2 3" xfId="9165"/>
    <cellStyle name="20% - Accent4 13 2 3 2" xfId="17443"/>
    <cellStyle name="20% - Accent4 13 2 4" xfId="3428"/>
    <cellStyle name="20% - Accent4 13 2 5" xfId="11754"/>
    <cellStyle name="20% - Accent4 13 3" xfId="3429"/>
    <cellStyle name="20% - Accent4 13 3 2" xfId="11755"/>
    <cellStyle name="20% - Accent4 13 4" xfId="6062"/>
    <cellStyle name="20% - Accent4 13 4 2" xfId="14344"/>
    <cellStyle name="20% - Accent4 13 5" xfId="6670"/>
    <cellStyle name="20% - Accent4 13 5 2" xfId="14952"/>
    <cellStyle name="20% - Accent4 13 6" xfId="9164"/>
    <cellStyle name="20% - Accent4 13 6 2" xfId="17442"/>
    <cellStyle name="20% - Accent4 13 7" xfId="3427"/>
    <cellStyle name="20% - Accent4 13 8" xfId="11753"/>
    <cellStyle name="20% - Accent4 14" xfId="591"/>
    <cellStyle name="20% - Accent4 14 2" xfId="3431"/>
    <cellStyle name="20% - Accent4 14 2 2" xfId="11757"/>
    <cellStyle name="20% - Accent4 14 3" xfId="6076"/>
    <cellStyle name="20% - Accent4 14 3 2" xfId="14358"/>
    <cellStyle name="20% - Accent4 14 4" xfId="6672"/>
    <cellStyle name="20% - Accent4 14 4 2" xfId="14954"/>
    <cellStyle name="20% - Accent4 14 5" xfId="9166"/>
    <cellStyle name="20% - Accent4 14 5 2" xfId="17444"/>
    <cellStyle name="20% - Accent4 14 6" xfId="3430"/>
    <cellStyle name="20% - Accent4 14 7" xfId="11756"/>
    <cellStyle name="20% - Accent4 15" xfId="592"/>
    <cellStyle name="20% - Accent4 15 2" xfId="6673"/>
    <cellStyle name="20% - Accent4 15 2 2" xfId="14955"/>
    <cellStyle name="20% - Accent4 15 3" xfId="9167"/>
    <cellStyle name="20% - Accent4 15 3 2" xfId="17445"/>
    <cellStyle name="20% - Accent4 15 4" xfId="3432"/>
    <cellStyle name="20% - Accent4 15 5" xfId="11758"/>
    <cellStyle name="20% - Accent4 16" xfId="3433"/>
    <cellStyle name="20% - Accent4 16 2" xfId="11759"/>
    <cellStyle name="20% - Accent4 17" xfId="5629"/>
    <cellStyle name="20% - Accent4 17 2" xfId="13919"/>
    <cellStyle name="20% - Accent4 18" xfId="6655"/>
    <cellStyle name="20% - Accent4 18 2" xfId="14937"/>
    <cellStyle name="20% - Accent4 19" xfId="9149"/>
    <cellStyle name="20% - Accent4 19 2" xfId="17427"/>
    <cellStyle name="20% - Accent4 2" xfId="593"/>
    <cellStyle name="20% - Accent4 2 10" xfId="594"/>
    <cellStyle name="20% - Accent4 2 10 2" xfId="6675"/>
    <cellStyle name="20% - Accent4 2 10 2 2" xfId="14957"/>
    <cellStyle name="20% - Accent4 2 10 3" xfId="9169"/>
    <cellStyle name="20% - Accent4 2 10 3 2" xfId="17447"/>
    <cellStyle name="20% - Accent4 2 10 4" xfId="3435"/>
    <cellStyle name="20% - Accent4 2 10 5" xfId="11761"/>
    <cellStyle name="20% - Accent4 2 11" xfId="595"/>
    <cellStyle name="20% - Accent4 2 11 2" xfId="6676"/>
    <cellStyle name="20% - Accent4 2 11 2 2" xfId="14958"/>
    <cellStyle name="20% - Accent4 2 11 3" xfId="9170"/>
    <cellStyle name="20% - Accent4 2 11 3 2" xfId="17448"/>
    <cellStyle name="20% - Accent4 2 11 4" xfId="3436"/>
    <cellStyle name="20% - Accent4 2 11 5" xfId="11762"/>
    <cellStyle name="20% - Accent4 2 12" xfId="3437"/>
    <cellStyle name="20% - Accent4 2 12 2" xfId="11763"/>
    <cellStyle name="20% - Accent4 2 13" xfId="5641"/>
    <cellStyle name="20% - Accent4 2 13 2" xfId="13930"/>
    <cellStyle name="20% - Accent4 2 14" xfId="6674"/>
    <cellStyle name="20% - Accent4 2 14 2" xfId="14956"/>
    <cellStyle name="20% - Accent4 2 15" xfId="9168"/>
    <cellStyle name="20% - Accent4 2 15 2" xfId="17446"/>
    <cellStyle name="20% - Accent4 2 16" xfId="3434"/>
    <cellStyle name="20% - Accent4 2 17" xfId="11760"/>
    <cellStyle name="20% - Accent4 2 2" xfId="596"/>
    <cellStyle name="20% - Accent4 2 2 10" xfId="5677"/>
    <cellStyle name="20% - Accent4 2 2 10 2" xfId="13963"/>
    <cellStyle name="20% - Accent4 2 2 11" xfId="6677"/>
    <cellStyle name="20% - Accent4 2 2 11 2" xfId="14959"/>
    <cellStyle name="20% - Accent4 2 2 12" xfId="9171"/>
    <cellStyle name="20% - Accent4 2 2 12 2" xfId="17449"/>
    <cellStyle name="20% - Accent4 2 2 13" xfId="3438"/>
    <cellStyle name="20% - Accent4 2 2 14" xfId="11764"/>
    <cellStyle name="20% - Accent4 2 2 2" xfId="597"/>
    <cellStyle name="20% - Accent4 2 2 2 10" xfId="3439"/>
    <cellStyle name="20% - Accent4 2 2 2 11" xfId="11765"/>
    <cellStyle name="20% - Accent4 2 2 2 2" xfId="598"/>
    <cellStyle name="20% - Accent4 2 2 2 2 2" xfId="599"/>
    <cellStyle name="20% - Accent4 2 2 2 2 2 2" xfId="6680"/>
    <cellStyle name="20% - Accent4 2 2 2 2 2 2 2" xfId="14962"/>
    <cellStyle name="20% - Accent4 2 2 2 2 2 3" xfId="9174"/>
    <cellStyle name="20% - Accent4 2 2 2 2 2 3 2" xfId="17452"/>
    <cellStyle name="20% - Accent4 2 2 2 2 2 4" xfId="3441"/>
    <cellStyle name="20% - Accent4 2 2 2 2 2 5" xfId="11767"/>
    <cellStyle name="20% - Accent4 2 2 2 2 3" xfId="6679"/>
    <cellStyle name="20% - Accent4 2 2 2 2 3 2" xfId="14961"/>
    <cellStyle name="20% - Accent4 2 2 2 2 4" xfId="9173"/>
    <cellStyle name="20% - Accent4 2 2 2 2 4 2" xfId="17451"/>
    <cellStyle name="20% - Accent4 2 2 2 2 5" xfId="3440"/>
    <cellStyle name="20% - Accent4 2 2 2 2 6" xfId="11766"/>
    <cellStyle name="20% - Accent4 2 2 2 3" xfId="600"/>
    <cellStyle name="20% - Accent4 2 2 2 3 2" xfId="601"/>
    <cellStyle name="20% - Accent4 2 2 2 3 2 2" xfId="6682"/>
    <cellStyle name="20% - Accent4 2 2 2 3 2 2 2" xfId="14964"/>
    <cellStyle name="20% - Accent4 2 2 2 3 2 3" xfId="9176"/>
    <cellStyle name="20% - Accent4 2 2 2 3 2 3 2" xfId="17454"/>
    <cellStyle name="20% - Accent4 2 2 2 3 2 4" xfId="3443"/>
    <cellStyle name="20% - Accent4 2 2 2 3 2 5" xfId="11769"/>
    <cellStyle name="20% - Accent4 2 2 2 3 3" xfId="6681"/>
    <cellStyle name="20% - Accent4 2 2 2 3 3 2" xfId="14963"/>
    <cellStyle name="20% - Accent4 2 2 2 3 4" xfId="9175"/>
    <cellStyle name="20% - Accent4 2 2 2 3 4 2" xfId="17453"/>
    <cellStyle name="20% - Accent4 2 2 2 3 5" xfId="3442"/>
    <cellStyle name="20% - Accent4 2 2 2 3 6" xfId="11768"/>
    <cellStyle name="20% - Accent4 2 2 2 4" xfId="602"/>
    <cellStyle name="20% - Accent4 2 2 2 4 2" xfId="6683"/>
    <cellStyle name="20% - Accent4 2 2 2 4 2 2" xfId="14965"/>
    <cellStyle name="20% - Accent4 2 2 2 4 3" xfId="9177"/>
    <cellStyle name="20% - Accent4 2 2 2 4 3 2" xfId="17455"/>
    <cellStyle name="20% - Accent4 2 2 2 4 4" xfId="3444"/>
    <cellStyle name="20% - Accent4 2 2 2 4 5" xfId="11770"/>
    <cellStyle name="20% - Accent4 2 2 2 5" xfId="603"/>
    <cellStyle name="20% - Accent4 2 2 2 5 2" xfId="6684"/>
    <cellStyle name="20% - Accent4 2 2 2 5 2 2" xfId="14966"/>
    <cellStyle name="20% - Accent4 2 2 2 5 3" xfId="9178"/>
    <cellStyle name="20% - Accent4 2 2 2 5 3 2" xfId="17456"/>
    <cellStyle name="20% - Accent4 2 2 2 5 4" xfId="3445"/>
    <cellStyle name="20% - Accent4 2 2 2 5 5" xfId="11771"/>
    <cellStyle name="20% - Accent4 2 2 2 6" xfId="3446"/>
    <cellStyle name="20% - Accent4 2 2 2 6 2" xfId="11772"/>
    <cellStyle name="20% - Accent4 2 2 2 7" xfId="5879"/>
    <cellStyle name="20% - Accent4 2 2 2 7 2" xfId="14161"/>
    <cellStyle name="20% - Accent4 2 2 2 8" xfId="6678"/>
    <cellStyle name="20% - Accent4 2 2 2 8 2" xfId="14960"/>
    <cellStyle name="20% - Accent4 2 2 2 9" xfId="9172"/>
    <cellStyle name="20% - Accent4 2 2 2 9 2" xfId="17450"/>
    <cellStyle name="20% - Accent4 2 2 3" xfId="604"/>
    <cellStyle name="20% - Accent4 2 2 3 10" xfId="3447"/>
    <cellStyle name="20% - Accent4 2 2 3 11" xfId="11773"/>
    <cellStyle name="20% - Accent4 2 2 3 2" xfId="605"/>
    <cellStyle name="20% - Accent4 2 2 3 2 2" xfId="606"/>
    <cellStyle name="20% - Accent4 2 2 3 2 2 2" xfId="6687"/>
    <cellStyle name="20% - Accent4 2 2 3 2 2 2 2" xfId="14969"/>
    <cellStyle name="20% - Accent4 2 2 3 2 2 3" xfId="9181"/>
    <cellStyle name="20% - Accent4 2 2 3 2 2 3 2" xfId="17459"/>
    <cellStyle name="20% - Accent4 2 2 3 2 2 4" xfId="3449"/>
    <cellStyle name="20% - Accent4 2 2 3 2 2 5" xfId="11775"/>
    <cellStyle name="20% - Accent4 2 2 3 2 3" xfId="6686"/>
    <cellStyle name="20% - Accent4 2 2 3 2 3 2" xfId="14968"/>
    <cellStyle name="20% - Accent4 2 2 3 2 4" xfId="9180"/>
    <cellStyle name="20% - Accent4 2 2 3 2 4 2" xfId="17458"/>
    <cellStyle name="20% - Accent4 2 2 3 2 5" xfId="3448"/>
    <cellStyle name="20% - Accent4 2 2 3 2 6" xfId="11774"/>
    <cellStyle name="20% - Accent4 2 2 3 3" xfId="607"/>
    <cellStyle name="20% - Accent4 2 2 3 3 2" xfId="608"/>
    <cellStyle name="20% - Accent4 2 2 3 3 2 2" xfId="6689"/>
    <cellStyle name="20% - Accent4 2 2 3 3 2 2 2" xfId="14971"/>
    <cellStyle name="20% - Accent4 2 2 3 3 2 3" xfId="9183"/>
    <cellStyle name="20% - Accent4 2 2 3 3 2 3 2" xfId="17461"/>
    <cellStyle name="20% - Accent4 2 2 3 3 2 4" xfId="3451"/>
    <cellStyle name="20% - Accent4 2 2 3 3 2 5" xfId="11777"/>
    <cellStyle name="20% - Accent4 2 2 3 3 3" xfId="6688"/>
    <cellStyle name="20% - Accent4 2 2 3 3 3 2" xfId="14970"/>
    <cellStyle name="20% - Accent4 2 2 3 3 4" xfId="9182"/>
    <cellStyle name="20% - Accent4 2 2 3 3 4 2" xfId="17460"/>
    <cellStyle name="20% - Accent4 2 2 3 3 5" xfId="3450"/>
    <cellStyle name="20% - Accent4 2 2 3 3 6" xfId="11776"/>
    <cellStyle name="20% - Accent4 2 2 3 4" xfId="609"/>
    <cellStyle name="20% - Accent4 2 2 3 4 2" xfId="6690"/>
    <cellStyle name="20% - Accent4 2 2 3 4 2 2" xfId="14972"/>
    <cellStyle name="20% - Accent4 2 2 3 4 3" xfId="9184"/>
    <cellStyle name="20% - Accent4 2 2 3 4 3 2" xfId="17462"/>
    <cellStyle name="20% - Accent4 2 2 3 4 4" xfId="3452"/>
    <cellStyle name="20% - Accent4 2 2 3 4 5" xfId="11778"/>
    <cellStyle name="20% - Accent4 2 2 3 5" xfId="610"/>
    <cellStyle name="20% - Accent4 2 2 3 5 2" xfId="6691"/>
    <cellStyle name="20% - Accent4 2 2 3 5 2 2" xfId="14973"/>
    <cellStyle name="20% - Accent4 2 2 3 5 3" xfId="9185"/>
    <cellStyle name="20% - Accent4 2 2 3 5 3 2" xfId="17463"/>
    <cellStyle name="20% - Accent4 2 2 3 5 4" xfId="3453"/>
    <cellStyle name="20% - Accent4 2 2 3 5 5" xfId="11779"/>
    <cellStyle name="20% - Accent4 2 2 3 6" xfId="3454"/>
    <cellStyle name="20% - Accent4 2 2 3 6 2" xfId="11780"/>
    <cellStyle name="20% - Accent4 2 2 3 7" xfId="5977"/>
    <cellStyle name="20% - Accent4 2 2 3 7 2" xfId="14259"/>
    <cellStyle name="20% - Accent4 2 2 3 8" xfId="6685"/>
    <cellStyle name="20% - Accent4 2 2 3 8 2" xfId="14967"/>
    <cellStyle name="20% - Accent4 2 2 3 9" xfId="9179"/>
    <cellStyle name="20% - Accent4 2 2 3 9 2" xfId="17457"/>
    <cellStyle name="20% - Accent4 2 2 4" xfId="611"/>
    <cellStyle name="20% - Accent4 2 2 4 10" xfId="11781"/>
    <cellStyle name="20% - Accent4 2 2 4 2" xfId="612"/>
    <cellStyle name="20% - Accent4 2 2 4 2 2" xfId="613"/>
    <cellStyle name="20% - Accent4 2 2 4 2 2 2" xfId="6694"/>
    <cellStyle name="20% - Accent4 2 2 4 2 2 2 2" xfId="14976"/>
    <cellStyle name="20% - Accent4 2 2 4 2 2 3" xfId="9188"/>
    <cellStyle name="20% - Accent4 2 2 4 2 2 3 2" xfId="17466"/>
    <cellStyle name="20% - Accent4 2 2 4 2 2 4" xfId="3457"/>
    <cellStyle name="20% - Accent4 2 2 4 2 2 5" xfId="11783"/>
    <cellStyle name="20% - Accent4 2 2 4 2 3" xfId="6693"/>
    <cellStyle name="20% - Accent4 2 2 4 2 3 2" xfId="14975"/>
    <cellStyle name="20% - Accent4 2 2 4 2 4" xfId="9187"/>
    <cellStyle name="20% - Accent4 2 2 4 2 4 2" xfId="17465"/>
    <cellStyle name="20% - Accent4 2 2 4 2 5" xfId="3456"/>
    <cellStyle name="20% - Accent4 2 2 4 2 6" xfId="11782"/>
    <cellStyle name="20% - Accent4 2 2 4 3" xfId="614"/>
    <cellStyle name="20% - Accent4 2 2 4 3 2" xfId="6695"/>
    <cellStyle name="20% - Accent4 2 2 4 3 2 2" xfId="14977"/>
    <cellStyle name="20% - Accent4 2 2 4 3 3" xfId="9189"/>
    <cellStyle name="20% - Accent4 2 2 4 3 3 2" xfId="17467"/>
    <cellStyle name="20% - Accent4 2 2 4 3 4" xfId="3458"/>
    <cellStyle name="20% - Accent4 2 2 4 3 5" xfId="11784"/>
    <cellStyle name="20% - Accent4 2 2 4 4" xfId="615"/>
    <cellStyle name="20% - Accent4 2 2 4 4 2" xfId="6696"/>
    <cellStyle name="20% - Accent4 2 2 4 4 2 2" xfId="14978"/>
    <cellStyle name="20% - Accent4 2 2 4 4 3" xfId="9190"/>
    <cellStyle name="20% - Accent4 2 2 4 4 3 2" xfId="17468"/>
    <cellStyle name="20% - Accent4 2 2 4 4 4" xfId="3459"/>
    <cellStyle name="20% - Accent4 2 2 4 4 5" xfId="11785"/>
    <cellStyle name="20% - Accent4 2 2 4 5" xfId="3460"/>
    <cellStyle name="20% - Accent4 2 2 4 5 2" xfId="11786"/>
    <cellStyle name="20% - Accent4 2 2 4 6" xfId="5793"/>
    <cellStyle name="20% - Accent4 2 2 4 6 2" xfId="14075"/>
    <cellStyle name="20% - Accent4 2 2 4 7" xfId="6692"/>
    <cellStyle name="20% - Accent4 2 2 4 7 2" xfId="14974"/>
    <cellStyle name="20% - Accent4 2 2 4 8" xfId="9186"/>
    <cellStyle name="20% - Accent4 2 2 4 8 2" xfId="17464"/>
    <cellStyle name="20% - Accent4 2 2 4 9" xfId="3455"/>
    <cellStyle name="20% - Accent4 2 2 5" xfId="616"/>
    <cellStyle name="20% - Accent4 2 2 5 2" xfId="617"/>
    <cellStyle name="20% - Accent4 2 2 5 2 2" xfId="6698"/>
    <cellStyle name="20% - Accent4 2 2 5 2 2 2" xfId="14980"/>
    <cellStyle name="20% - Accent4 2 2 5 2 3" xfId="9192"/>
    <cellStyle name="20% - Accent4 2 2 5 2 3 2" xfId="17470"/>
    <cellStyle name="20% - Accent4 2 2 5 2 4" xfId="3462"/>
    <cellStyle name="20% - Accent4 2 2 5 2 5" xfId="11788"/>
    <cellStyle name="20% - Accent4 2 2 5 3" xfId="6697"/>
    <cellStyle name="20% - Accent4 2 2 5 3 2" xfId="14979"/>
    <cellStyle name="20% - Accent4 2 2 5 4" xfId="9191"/>
    <cellStyle name="20% - Accent4 2 2 5 4 2" xfId="17469"/>
    <cellStyle name="20% - Accent4 2 2 5 5" xfId="3461"/>
    <cellStyle name="20% - Accent4 2 2 5 6" xfId="11787"/>
    <cellStyle name="20% - Accent4 2 2 6" xfId="618"/>
    <cellStyle name="20% - Accent4 2 2 6 2" xfId="619"/>
    <cellStyle name="20% - Accent4 2 2 6 2 2" xfId="6700"/>
    <cellStyle name="20% - Accent4 2 2 6 2 2 2" xfId="14982"/>
    <cellStyle name="20% - Accent4 2 2 6 2 3" xfId="9194"/>
    <cellStyle name="20% - Accent4 2 2 6 2 3 2" xfId="17472"/>
    <cellStyle name="20% - Accent4 2 2 6 2 4" xfId="3464"/>
    <cellStyle name="20% - Accent4 2 2 6 2 5" xfId="11790"/>
    <cellStyle name="20% - Accent4 2 2 6 3" xfId="6699"/>
    <cellStyle name="20% - Accent4 2 2 6 3 2" xfId="14981"/>
    <cellStyle name="20% - Accent4 2 2 6 4" xfId="9193"/>
    <cellStyle name="20% - Accent4 2 2 6 4 2" xfId="17471"/>
    <cellStyle name="20% - Accent4 2 2 6 5" xfId="3463"/>
    <cellStyle name="20% - Accent4 2 2 6 6" xfId="11789"/>
    <cellStyle name="20% - Accent4 2 2 7" xfId="620"/>
    <cellStyle name="20% - Accent4 2 2 7 2" xfId="6701"/>
    <cellStyle name="20% - Accent4 2 2 7 2 2" xfId="14983"/>
    <cellStyle name="20% - Accent4 2 2 7 3" xfId="9195"/>
    <cellStyle name="20% - Accent4 2 2 7 3 2" xfId="17473"/>
    <cellStyle name="20% - Accent4 2 2 7 4" xfId="3465"/>
    <cellStyle name="20% - Accent4 2 2 7 5" xfId="11791"/>
    <cellStyle name="20% - Accent4 2 2 8" xfId="621"/>
    <cellStyle name="20% - Accent4 2 2 8 2" xfId="6702"/>
    <cellStyle name="20% - Accent4 2 2 8 2 2" xfId="14984"/>
    <cellStyle name="20% - Accent4 2 2 8 3" xfId="9196"/>
    <cellStyle name="20% - Accent4 2 2 8 3 2" xfId="17474"/>
    <cellStyle name="20% - Accent4 2 2 8 4" xfId="3466"/>
    <cellStyle name="20% - Accent4 2 2 8 5" xfId="11792"/>
    <cellStyle name="20% - Accent4 2 2 9" xfId="3467"/>
    <cellStyle name="20% - Accent4 2 2 9 2" xfId="11793"/>
    <cellStyle name="20% - Accent4 2 3" xfId="622"/>
    <cellStyle name="20% - Accent4 2 3 10" xfId="5705"/>
    <cellStyle name="20% - Accent4 2 3 10 2" xfId="13991"/>
    <cellStyle name="20% - Accent4 2 3 11" xfId="6703"/>
    <cellStyle name="20% - Accent4 2 3 11 2" xfId="14985"/>
    <cellStyle name="20% - Accent4 2 3 12" xfId="9197"/>
    <cellStyle name="20% - Accent4 2 3 12 2" xfId="17475"/>
    <cellStyle name="20% - Accent4 2 3 13" xfId="3468"/>
    <cellStyle name="20% - Accent4 2 3 14" xfId="11794"/>
    <cellStyle name="20% - Accent4 2 3 2" xfId="623"/>
    <cellStyle name="20% - Accent4 2 3 2 10" xfId="3469"/>
    <cellStyle name="20% - Accent4 2 3 2 11" xfId="11795"/>
    <cellStyle name="20% - Accent4 2 3 2 2" xfId="624"/>
    <cellStyle name="20% - Accent4 2 3 2 2 2" xfId="625"/>
    <cellStyle name="20% - Accent4 2 3 2 2 2 2" xfId="6706"/>
    <cellStyle name="20% - Accent4 2 3 2 2 2 2 2" xfId="14988"/>
    <cellStyle name="20% - Accent4 2 3 2 2 2 3" xfId="9200"/>
    <cellStyle name="20% - Accent4 2 3 2 2 2 3 2" xfId="17478"/>
    <cellStyle name="20% - Accent4 2 3 2 2 2 4" xfId="3471"/>
    <cellStyle name="20% - Accent4 2 3 2 2 2 5" xfId="11797"/>
    <cellStyle name="20% - Accent4 2 3 2 2 3" xfId="6705"/>
    <cellStyle name="20% - Accent4 2 3 2 2 3 2" xfId="14987"/>
    <cellStyle name="20% - Accent4 2 3 2 2 4" xfId="9199"/>
    <cellStyle name="20% - Accent4 2 3 2 2 4 2" xfId="17477"/>
    <cellStyle name="20% - Accent4 2 3 2 2 5" xfId="3470"/>
    <cellStyle name="20% - Accent4 2 3 2 2 6" xfId="11796"/>
    <cellStyle name="20% - Accent4 2 3 2 3" xfId="626"/>
    <cellStyle name="20% - Accent4 2 3 2 3 2" xfId="627"/>
    <cellStyle name="20% - Accent4 2 3 2 3 2 2" xfId="6708"/>
    <cellStyle name="20% - Accent4 2 3 2 3 2 2 2" xfId="14990"/>
    <cellStyle name="20% - Accent4 2 3 2 3 2 3" xfId="9202"/>
    <cellStyle name="20% - Accent4 2 3 2 3 2 3 2" xfId="17480"/>
    <cellStyle name="20% - Accent4 2 3 2 3 2 4" xfId="3473"/>
    <cellStyle name="20% - Accent4 2 3 2 3 2 5" xfId="11799"/>
    <cellStyle name="20% - Accent4 2 3 2 3 3" xfId="6707"/>
    <cellStyle name="20% - Accent4 2 3 2 3 3 2" xfId="14989"/>
    <cellStyle name="20% - Accent4 2 3 2 3 4" xfId="9201"/>
    <cellStyle name="20% - Accent4 2 3 2 3 4 2" xfId="17479"/>
    <cellStyle name="20% - Accent4 2 3 2 3 5" xfId="3472"/>
    <cellStyle name="20% - Accent4 2 3 2 3 6" xfId="11798"/>
    <cellStyle name="20% - Accent4 2 3 2 4" xfId="628"/>
    <cellStyle name="20% - Accent4 2 3 2 4 2" xfId="6709"/>
    <cellStyle name="20% - Accent4 2 3 2 4 2 2" xfId="14991"/>
    <cellStyle name="20% - Accent4 2 3 2 4 3" xfId="9203"/>
    <cellStyle name="20% - Accent4 2 3 2 4 3 2" xfId="17481"/>
    <cellStyle name="20% - Accent4 2 3 2 4 4" xfId="3474"/>
    <cellStyle name="20% - Accent4 2 3 2 4 5" xfId="11800"/>
    <cellStyle name="20% - Accent4 2 3 2 5" xfId="629"/>
    <cellStyle name="20% - Accent4 2 3 2 5 2" xfId="6710"/>
    <cellStyle name="20% - Accent4 2 3 2 5 2 2" xfId="14992"/>
    <cellStyle name="20% - Accent4 2 3 2 5 3" xfId="9204"/>
    <cellStyle name="20% - Accent4 2 3 2 5 3 2" xfId="17482"/>
    <cellStyle name="20% - Accent4 2 3 2 5 4" xfId="3475"/>
    <cellStyle name="20% - Accent4 2 3 2 5 5" xfId="11801"/>
    <cellStyle name="20% - Accent4 2 3 2 6" xfId="3476"/>
    <cellStyle name="20% - Accent4 2 3 2 6 2" xfId="11802"/>
    <cellStyle name="20% - Accent4 2 3 2 7" xfId="5907"/>
    <cellStyle name="20% - Accent4 2 3 2 7 2" xfId="14189"/>
    <cellStyle name="20% - Accent4 2 3 2 8" xfId="6704"/>
    <cellStyle name="20% - Accent4 2 3 2 8 2" xfId="14986"/>
    <cellStyle name="20% - Accent4 2 3 2 9" xfId="9198"/>
    <cellStyle name="20% - Accent4 2 3 2 9 2" xfId="17476"/>
    <cellStyle name="20% - Accent4 2 3 3" xfId="630"/>
    <cellStyle name="20% - Accent4 2 3 3 10" xfId="3477"/>
    <cellStyle name="20% - Accent4 2 3 3 11" xfId="11803"/>
    <cellStyle name="20% - Accent4 2 3 3 2" xfId="631"/>
    <cellStyle name="20% - Accent4 2 3 3 2 2" xfId="632"/>
    <cellStyle name="20% - Accent4 2 3 3 2 2 2" xfId="6713"/>
    <cellStyle name="20% - Accent4 2 3 3 2 2 2 2" xfId="14995"/>
    <cellStyle name="20% - Accent4 2 3 3 2 2 3" xfId="9207"/>
    <cellStyle name="20% - Accent4 2 3 3 2 2 3 2" xfId="17485"/>
    <cellStyle name="20% - Accent4 2 3 3 2 2 4" xfId="3479"/>
    <cellStyle name="20% - Accent4 2 3 3 2 2 5" xfId="11805"/>
    <cellStyle name="20% - Accent4 2 3 3 2 3" xfId="6712"/>
    <cellStyle name="20% - Accent4 2 3 3 2 3 2" xfId="14994"/>
    <cellStyle name="20% - Accent4 2 3 3 2 4" xfId="9206"/>
    <cellStyle name="20% - Accent4 2 3 3 2 4 2" xfId="17484"/>
    <cellStyle name="20% - Accent4 2 3 3 2 5" xfId="3478"/>
    <cellStyle name="20% - Accent4 2 3 3 2 6" xfId="11804"/>
    <cellStyle name="20% - Accent4 2 3 3 3" xfId="633"/>
    <cellStyle name="20% - Accent4 2 3 3 3 2" xfId="634"/>
    <cellStyle name="20% - Accent4 2 3 3 3 2 2" xfId="6715"/>
    <cellStyle name="20% - Accent4 2 3 3 3 2 2 2" xfId="14997"/>
    <cellStyle name="20% - Accent4 2 3 3 3 2 3" xfId="9209"/>
    <cellStyle name="20% - Accent4 2 3 3 3 2 3 2" xfId="17487"/>
    <cellStyle name="20% - Accent4 2 3 3 3 2 4" xfId="3481"/>
    <cellStyle name="20% - Accent4 2 3 3 3 2 5" xfId="11807"/>
    <cellStyle name="20% - Accent4 2 3 3 3 3" xfId="6714"/>
    <cellStyle name="20% - Accent4 2 3 3 3 3 2" xfId="14996"/>
    <cellStyle name="20% - Accent4 2 3 3 3 4" xfId="9208"/>
    <cellStyle name="20% - Accent4 2 3 3 3 4 2" xfId="17486"/>
    <cellStyle name="20% - Accent4 2 3 3 3 5" xfId="3480"/>
    <cellStyle name="20% - Accent4 2 3 3 3 6" xfId="11806"/>
    <cellStyle name="20% - Accent4 2 3 3 4" xfId="635"/>
    <cellStyle name="20% - Accent4 2 3 3 4 2" xfId="6716"/>
    <cellStyle name="20% - Accent4 2 3 3 4 2 2" xfId="14998"/>
    <cellStyle name="20% - Accent4 2 3 3 4 3" xfId="9210"/>
    <cellStyle name="20% - Accent4 2 3 3 4 3 2" xfId="17488"/>
    <cellStyle name="20% - Accent4 2 3 3 4 4" xfId="3482"/>
    <cellStyle name="20% - Accent4 2 3 3 4 5" xfId="11808"/>
    <cellStyle name="20% - Accent4 2 3 3 5" xfId="636"/>
    <cellStyle name="20% - Accent4 2 3 3 5 2" xfId="6717"/>
    <cellStyle name="20% - Accent4 2 3 3 5 2 2" xfId="14999"/>
    <cellStyle name="20% - Accent4 2 3 3 5 3" xfId="9211"/>
    <cellStyle name="20% - Accent4 2 3 3 5 3 2" xfId="17489"/>
    <cellStyle name="20% - Accent4 2 3 3 5 4" xfId="3483"/>
    <cellStyle name="20% - Accent4 2 3 3 5 5" xfId="11809"/>
    <cellStyle name="20% - Accent4 2 3 3 6" xfId="3484"/>
    <cellStyle name="20% - Accent4 2 3 3 6 2" xfId="11810"/>
    <cellStyle name="20% - Accent4 2 3 3 7" xfId="6005"/>
    <cellStyle name="20% - Accent4 2 3 3 7 2" xfId="14287"/>
    <cellStyle name="20% - Accent4 2 3 3 8" xfId="6711"/>
    <cellStyle name="20% - Accent4 2 3 3 8 2" xfId="14993"/>
    <cellStyle name="20% - Accent4 2 3 3 9" xfId="9205"/>
    <cellStyle name="20% - Accent4 2 3 3 9 2" xfId="17483"/>
    <cellStyle name="20% - Accent4 2 3 4" xfId="637"/>
    <cellStyle name="20% - Accent4 2 3 4 10" xfId="11811"/>
    <cellStyle name="20% - Accent4 2 3 4 2" xfId="638"/>
    <cellStyle name="20% - Accent4 2 3 4 2 2" xfId="639"/>
    <cellStyle name="20% - Accent4 2 3 4 2 2 2" xfId="6720"/>
    <cellStyle name="20% - Accent4 2 3 4 2 2 2 2" xfId="15002"/>
    <cellStyle name="20% - Accent4 2 3 4 2 2 3" xfId="9214"/>
    <cellStyle name="20% - Accent4 2 3 4 2 2 3 2" xfId="17492"/>
    <cellStyle name="20% - Accent4 2 3 4 2 2 4" xfId="3487"/>
    <cellStyle name="20% - Accent4 2 3 4 2 2 5" xfId="11813"/>
    <cellStyle name="20% - Accent4 2 3 4 2 3" xfId="6719"/>
    <cellStyle name="20% - Accent4 2 3 4 2 3 2" xfId="15001"/>
    <cellStyle name="20% - Accent4 2 3 4 2 4" xfId="9213"/>
    <cellStyle name="20% - Accent4 2 3 4 2 4 2" xfId="17491"/>
    <cellStyle name="20% - Accent4 2 3 4 2 5" xfId="3486"/>
    <cellStyle name="20% - Accent4 2 3 4 2 6" xfId="11812"/>
    <cellStyle name="20% - Accent4 2 3 4 3" xfId="640"/>
    <cellStyle name="20% - Accent4 2 3 4 3 2" xfId="6721"/>
    <cellStyle name="20% - Accent4 2 3 4 3 2 2" xfId="15003"/>
    <cellStyle name="20% - Accent4 2 3 4 3 3" xfId="9215"/>
    <cellStyle name="20% - Accent4 2 3 4 3 3 2" xfId="17493"/>
    <cellStyle name="20% - Accent4 2 3 4 3 4" xfId="3488"/>
    <cellStyle name="20% - Accent4 2 3 4 3 5" xfId="11814"/>
    <cellStyle name="20% - Accent4 2 3 4 4" xfId="641"/>
    <cellStyle name="20% - Accent4 2 3 4 4 2" xfId="6722"/>
    <cellStyle name="20% - Accent4 2 3 4 4 2 2" xfId="15004"/>
    <cellStyle name="20% - Accent4 2 3 4 4 3" xfId="9216"/>
    <cellStyle name="20% - Accent4 2 3 4 4 3 2" xfId="17494"/>
    <cellStyle name="20% - Accent4 2 3 4 4 4" xfId="3489"/>
    <cellStyle name="20% - Accent4 2 3 4 4 5" xfId="11815"/>
    <cellStyle name="20% - Accent4 2 3 4 5" xfId="3490"/>
    <cellStyle name="20% - Accent4 2 3 4 5 2" xfId="11816"/>
    <cellStyle name="20% - Accent4 2 3 4 6" xfId="5821"/>
    <cellStyle name="20% - Accent4 2 3 4 6 2" xfId="14103"/>
    <cellStyle name="20% - Accent4 2 3 4 7" xfId="6718"/>
    <cellStyle name="20% - Accent4 2 3 4 7 2" xfId="15000"/>
    <cellStyle name="20% - Accent4 2 3 4 8" xfId="9212"/>
    <cellStyle name="20% - Accent4 2 3 4 8 2" xfId="17490"/>
    <cellStyle name="20% - Accent4 2 3 4 9" xfId="3485"/>
    <cellStyle name="20% - Accent4 2 3 5" xfId="642"/>
    <cellStyle name="20% - Accent4 2 3 5 2" xfId="643"/>
    <cellStyle name="20% - Accent4 2 3 5 2 2" xfId="6724"/>
    <cellStyle name="20% - Accent4 2 3 5 2 2 2" xfId="15006"/>
    <cellStyle name="20% - Accent4 2 3 5 2 3" xfId="9218"/>
    <cellStyle name="20% - Accent4 2 3 5 2 3 2" xfId="17496"/>
    <cellStyle name="20% - Accent4 2 3 5 2 4" xfId="3492"/>
    <cellStyle name="20% - Accent4 2 3 5 2 5" xfId="11818"/>
    <cellStyle name="20% - Accent4 2 3 5 3" xfId="6723"/>
    <cellStyle name="20% - Accent4 2 3 5 3 2" xfId="15005"/>
    <cellStyle name="20% - Accent4 2 3 5 4" xfId="9217"/>
    <cellStyle name="20% - Accent4 2 3 5 4 2" xfId="17495"/>
    <cellStyle name="20% - Accent4 2 3 5 5" xfId="3491"/>
    <cellStyle name="20% - Accent4 2 3 5 6" xfId="11817"/>
    <cellStyle name="20% - Accent4 2 3 6" xfId="644"/>
    <cellStyle name="20% - Accent4 2 3 6 2" xfId="645"/>
    <cellStyle name="20% - Accent4 2 3 6 2 2" xfId="6726"/>
    <cellStyle name="20% - Accent4 2 3 6 2 2 2" xfId="15008"/>
    <cellStyle name="20% - Accent4 2 3 6 2 3" xfId="9220"/>
    <cellStyle name="20% - Accent4 2 3 6 2 3 2" xfId="17498"/>
    <cellStyle name="20% - Accent4 2 3 6 2 4" xfId="3494"/>
    <cellStyle name="20% - Accent4 2 3 6 2 5" xfId="11820"/>
    <cellStyle name="20% - Accent4 2 3 6 3" xfId="6725"/>
    <cellStyle name="20% - Accent4 2 3 6 3 2" xfId="15007"/>
    <cellStyle name="20% - Accent4 2 3 6 4" xfId="9219"/>
    <cellStyle name="20% - Accent4 2 3 6 4 2" xfId="17497"/>
    <cellStyle name="20% - Accent4 2 3 6 5" xfId="3493"/>
    <cellStyle name="20% - Accent4 2 3 6 6" xfId="11819"/>
    <cellStyle name="20% - Accent4 2 3 7" xfId="646"/>
    <cellStyle name="20% - Accent4 2 3 7 2" xfId="6727"/>
    <cellStyle name="20% - Accent4 2 3 7 2 2" xfId="15009"/>
    <cellStyle name="20% - Accent4 2 3 7 3" xfId="9221"/>
    <cellStyle name="20% - Accent4 2 3 7 3 2" xfId="17499"/>
    <cellStyle name="20% - Accent4 2 3 7 4" xfId="3495"/>
    <cellStyle name="20% - Accent4 2 3 7 5" xfId="11821"/>
    <cellStyle name="20% - Accent4 2 3 8" xfId="647"/>
    <cellStyle name="20% - Accent4 2 3 8 2" xfId="6728"/>
    <cellStyle name="20% - Accent4 2 3 8 2 2" xfId="15010"/>
    <cellStyle name="20% - Accent4 2 3 8 3" xfId="9222"/>
    <cellStyle name="20% - Accent4 2 3 8 3 2" xfId="17500"/>
    <cellStyle name="20% - Accent4 2 3 8 4" xfId="3496"/>
    <cellStyle name="20% - Accent4 2 3 8 5" xfId="11822"/>
    <cellStyle name="20% - Accent4 2 3 9" xfId="3497"/>
    <cellStyle name="20% - Accent4 2 3 9 2" xfId="11823"/>
    <cellStyle name="20% - Accent4 2 4" xfId="648"/>
    <cellStyle name="20% - Accent4 2 4 10" xfId="3498"/>
    <cellStyle name="20% - Accent4 2 4 11" xfId="11824"/>
    <cellStyle name="20% - Accent4 2 4 2" xfId="649"/>
    <cellStyle name="20% - Accent4 2 4 2 2" xfId="650"/>
    <cellStyle name="20% - Accent4 2 4 2 2 2" xfId="6731"/>
    <cellStyle name="20% - Accent4 2 4 2 2 2 2" xfId="15013"/>
    <cellStyle name="20% - Accent4 2 4 2 2 3" xfId="9225"/>
    <cellStyle name="20% - Accent4 2 4 2 2 3 2" xfId="17503"/>
    <cellStyle name="20% - Accent4 2 4 2 2 4" xfId="3500"/>
    <cellStyle name="20% - Accent4 2 4 2 2 5" xfId="11826"/>
    <cellStyle name="20% - Accent4 2 4 2 3" xfId="6730"/>
    <cellStyle name="20% - Accent4 2 4 2 3 2" xfId="15012"/>
    <cellStyle name="20% - Accent4 2 4 2 4" xfId="9224"/>
    <cellStyle name="20% - Accent4 2 4 2 4 2" xfId="17502"/>
    <cellStyle name="20% - Accent4 2 4 2 5" xfId="3499"/>
    <cellStyle name="20% - Accent4 2 4 2 6" xfId="11825"/>
    <cellStyle name="20% - Accent4 2 4 3" xfId="651"/>
    <cellStyle name="20% - Accent4 2 4 3 2" xfId="652"/>
    <cellStyle name="20% - Accent4 2 4 3 2 2" xfId="6733"/>
    <cellStyle name="20% - Accent4 2 4 3 2 2 2" xfId="15015"/>
    <cellStyle name="20% - Accent4 2 4 3 2 3" xfId="9227"/>
    <cellStyle name="20% - Accent4 2 4 3 2 3 2" xfId="17505"/>
    <cellStyle name="20% - Accent4 2 4 3 2 4" xfId="3502"/>
    <cellStyle name="20% - Accent4 2 4 3 2 5" xfId="11828"/>
    <cellStyle name="20% - Accent4 2 4 3 3" xfId="6732"/>
    <cellStyle name="20% - Accent4 2 4 3 3 2" xfId="15014"/>
    <cellStyle name="20% - Accent4 2 4 3 4" xfId="9226"/>
    <cellStyle name="20% - Accent4 2 4 3 4 2" xfId="17504"/>
    <cellStyle name="20% - Accent4 2 4 3 5" xfId="3501"/>
    <cellStyle name="20% - Accent4 2 4 3 6" xfId="11827"/>
    <cellStyle name="20% - Accent4 2 4 4" xfId="653"/>
    <cellStyle name="20% - Accent4 2 4 4 2" xfId="6734"/>
    <cellStyle name="20% - Accent4 2 4 4 2 2" xfId="15016"/>
    <cellStyle name="20% - Accent4 2 4 4 3" xfId="9228"/>
    <cellStyle name="20% - Accent4 2 4 4 3 2" xfId="17506"/>
    <cellStyle name="20% - Accent4 2 4 4 4" xfId="3503"/>
    <cellStyle name="20% - Accent4 2 4 4 5" xfId="11829"/>
    <cellStyle name="20% - Accent4 2 4 5" xfId="654"/>
    <cellStyle name="20% - Accent4 2 4 5 2" xfId="6735"/>
    <cellStyle name="20% - Accent4 2 4 5 2 2" xfId="15017"/>
    <cellStyle name="20% - Accent4 2 4 5 3" xfId="9229"/>
    <cellStyle name="20% - Accent4 2 4 5 3 2" xfId="17507"/>
    <cellStyle name="20% - Accent4 2 4 5 4" xfId="3504"/>
    <cellStyle name="20% - Accent4 2 4 5 5" xfId="11830"/>
    <cellStyle name="20% - Accent4 2 4 6" xfId="3505"/>
    <cellStyle name="20% - Accent4 2 4 6 2" xfId="11831"/>
    <cellStyle name="20% - Accent4 2 4 7" xfId="5758"/>
    <cellStyle name="20% - Accent4 2 4 7 2" xfId="14042"/>
    <cellStyle name="20% - Accent4 2 4 8" xfId="6729"/>
    <cellStyle name="20% - Accent4 2 4 8 2" xfId="15011"/>
    <cellStyle name="20% - Accent4 2 4 9" xfId="9223"/>
    <cellStyle name="20% - Accent4 2 4 9 2" xfId="17501"/>
    <cellStyle name="20% - Accent4 2 5" xfId="655"/>
    <cellStyle name="20% - Accent4 2 5 10" xfId="3506"/>
    <cellStyle name="20% - Accent4 2 5 11" xfId="11832"/>
    <cellStyle name="20% - Accent4 2 5 2" xfId="656"/>
    <cellStyle name="20% - Accent4 2 5 2 2" xfId="657"/>
    <cellStyle name="20% - Accent4 2 5 2 2 2" xfId="6738"/>
    <cellStyle name="20% - Accent4 2 5 2 2 2 2" xfId="15020"/>
    <cellStyle name="20% - Accent4 2 5 2 2 3" xfId="9232"/>
    <cellStyle name="20% - Accent4 2 5 2 2 3 2" xfId="17510"/>
    <cellStyle name="20% - Accent4 2 5 2 2 4" xfId="3508"/>
    <cellStyle name="20% - Accent4 2 5 2 2 5" xfId="11834"/>
    <cellStyle name="20% - Accent4 2 5 2 3" xfId="6737"/>
    <cellStyle name="20% - Accent4 2 5 2 3 2" xfId="15019"/>
    <cellStyle name="20% - Accent4 2 5 2 4" xfId="9231"/>
    <cellStyle name="20% - Accent4 2 5 2 4 2" xfId="17509"/>
    <cellStyle name="20% - Accent4 2 5 2 5" xfId="3507"/>
    <cellStyle name="20% - Accent4 2 5 2 6" xfId="11833"/>
    <cellStyle name="20% - Accent4 2 5 3" xfId="658"/>
    <cellStyle name="20% - Accent4 2 5 3 2" xfId="659"/>
    <cellStyle name="20% - Accent4 2 5 3 2 2" xfId="6740"/>
    <cellStyle name="20% - Accent4 2 5 3 2 2 2" xfId="15022"/>
    <cellStyle name="20% - Accent4 2 5 3 2 3" xfId="9234"/>
    <cellStyle name="20% - Accent4 2 5 3 2 3 2" xfId="17512"/>
    <cellStyle name="20% - Accent4 2 5 3 2 4" xfId="3510"/>
    <cellStyle name="20% - Accent4 2 5 3 2 5" xfId="11836"/>
    <cellStyle name="20% - Accent4 2 5 3 3" xfId="6739"/>
    <cellStyle name="20% - Accent4 2 5 3 3 2" xfId="15021"/>
    <cellStyle name="20% - Accent4 2 5 3 4" xfId="9233"/>
    <cellStyle name="20% - Accent4 2 5 3 4 2" xfId="17511"/>
    <cellStyle name="20% - Accent4 2 5 3 5" xfId="3509"/>
    <cellStyle name="20% - Accent4 2 5 3 6" xfId="11835"/>
    <cellStyle name="20% - Accent4 2 5 4" xfId="660"/>
    <cellStyle name="20% - Accent4 2 5 4 2" xfId="6741"/>
    <cellStyle name="20% - Accent4 2 5 4 2 2" xfId="15023"/>
    <cellStyle name="20% - Accent4 2 5 4 3" xfId="9235"/>
    <cellStyle name="20% - Accent4 2 5 4 3 2" xfId="17513"/>
    <cellStyle name="20% - Accent4 2 5 4 4" xfId="3511"/>
    <cellStyle name="20% - Accent4 2 5 4 5" xfId="11837"/>
    <cellStyle name="20% - Accent4 2 5 5" xfId="661"/>
    <cellStyle name="20% - Accent4 2 5 5 2" xfId="6742"/>
    <cellStyle name="20% - Accent4 2 5 5 2 2" xfId="15024"/>
    <cellStyle name="20% - Accent4 2 5 5 3" xfId="9236"/>
    <cellStyle name="20% - Accent4 2 5 5 3 2" xfId="17514"/>
    <cellStyle name="20% - Accent4 2 5 5 4" xfId="3512"/>
    <cellStyle name="20% - Accent4 2 5 5 5" xfId="11838"/>
    <cellStyle name="20% - Accent4 2 5 6" xfId="3513"/>
    <cellStyle name="20% - Accent4 2 5 6 2" xfId="11839"/>
    <cellStyle name="20% - Accent4 2 5 7" xfId="5846"/>
    <cellStyle name="20% - Accent4 2 5 7 2" xfId="14128"/>
    <cellStyle name="20% - Accent4 2 5 8" xfId="6736"/>
    <cellStyle name="20% - Accent4 2 5 8 2" xfId="15018"/>
    <cellStyle name="20% - Accent4 2 5 9" xfId="9230"/>
    <cellStyle name="20% - Accent4 2 5 9 2" xfId="17508"/>
    <cellStyle name="20% - Accent4 2 6" xfId="662"/>
    <cellStyle name="20% - Accent4 2 6 10" xfId="3514"/>
    <cellStyle name="20% - Accent4 2 6 11" xfId="11840"/>
    <cellStyle name="20% - Accent4 2 6 2" xfId="663"/>
    <cellStyle name="20% - Accent4 2 6 2 2" xfId="664"/>
    <cellStyle name="20% - Accent4 2 6 2 2 2" xfId="6745"/>
    <cellStyle name="20% - Accent4 2 6 2 2 2 2" xfId="15027"/>
    <cellStyle name="20% - Accent4 2 6 2 2 3" xfId="9239"/>
    <cellStyle name="20% - Accent4 2 6 2 2 3 2" xfId="17517"/>
    <cellStyle name="20% - Accent4 2 6 2 2 4" xfId="3516"/>
    <cellStyle name="20% - Accent4 2 6 2 2 5" xfId="11842"/>
    <cellStyle name="20% - Accent4 2 6 2 3" xfId="6744"/>
    <cellStyle name="20% - Accent4 2 6 2 3 2" xfId="15026"/>
    <cellStyle name="20% - Accent4 2 6 2 4" xfId="9238"/>
    <cellStyle name="20% - Accent4 2 6 2 4 2" xfId="17516"/>
    <cellStyle name="20% - Accent4 2 6 2 5" xfId="3515"/>
    <cellStyle name="20% - Accent4 2 6 2 6" xfId="11841"/>
    <cellStyle name="20% - Accent4 2 6 3" xfId="665"/>
    <cellStyle name="20% - Accent4 2 6 3 2" xfId="666"/>
    <cellStyle name="20% - Accent4 2 6 3 2 2" xfId="6747"/>
    <cellStyle name="20% - Accent4 2 6 3 2 2 2" xfId="15029"/>
    <cellStyle name="20% - Accent4 2 6 3 2 3" xfId="9241"/>
    <cellStyle name="20% - Accent4 2 6 3 2 3 2" xfId="17519"/>
    <cellStyle name="20% - Accent4 2 6 3 2 4" xfId="3518"/>
    <cellStyle name="20% - Accent4 2 6 3 2 5" xfId="11844"/>
    <cellStyle name="20% - Accent4 2 6 3 3" xfId="6746"/>
    <cellStyle name="20% - Accent4 2 6 3 3 2" xfId="15028"/>
    <cellStyle name="20% - Accent4 2 6 3 4" xfId="9240"/>
    <cellStyle name="20% - Accent4 2 6 3 4 2" xfId="17518"/>
    <cellStyle name="20% - Accent4 2 6 3 5" xfId="3517"/>
    <cellStyle name="20% - Accent4 2 6 3 6" xfId="11843"/>
    <cellStyle name="20% - Accent4 2 6 4" xfId="667"/>
    <cellStyle name="20% - Accent4 2 6 4 2" xfId="6748"/>
    <cellStyle name="20% - Accent4 2 6 4 2 2" xfId="15030"/>
    <cellStyle name="20% - Accent4 2 6 4 3" xfId="9242"/>
    <cellStyle name="20% - Accent4 2 6 4 3 2" xfId="17520"/>
    <cellStyle name="20% - Accent4 2 6 4 4" xfId="3519"/>
    <cellStyle name="20% - Accent4 2 6 4 5" xfId="11845"/>
    <cellStyle name="20% - Accent4 2 6 5" xfId="668"/>
    <cellStyle name="20% - Accent4 2 6 5 2" xfId="6749"/>
    <cellStyle name="20% - Accent4 2 6 5 2 2" xfId="15031"/>
    <cellStyle name="20% - Accent4 2 6 5 3" xfId="9243"/>
    <cellStyle name="20% - Accent4 2 6 5 3 2" xfId="17521"/>
    <cellStyle name="20% - Accent4 2 6 5 4" xfId="3520"/>
    <cellStyle name="20% - Accent4 2 6 5 5" xfId="11846"/>
    <cellStyle name="20% - Accent4 2 6 6" xfId="3521"/>
    <cellStyle name="20% - Accent4 2 6 6 2" xfId="11847"/>
    <cellStyle name="20% - Accent4 2 6 7" xfId="5944"/>
    <cellStyle name="20% - Accent4 2 6 7 2" xfId="14226"/>
    <cellStyle name="20% - Accent4 2 6 8" xfId="6743"/>
    <cellStyle name="20% - Accent4 2 6 8 2" xfId="15025"/>
    <cellStyle name="20% - Accent4 2 6 9" xfId="9237"/>
    <cellStyle name="20% - Accent4 2 6 9 2" xfId="17515"/>
    <cellStyle name="20% - Accent4 2 7" xfId="669"/>
    <cellStyle name="20% - Accent4 2 7 10" xfId="11848"/>
    <cellStyle name="20% - Accent4 2 7 2" xfId="670"/>
    <cellStyle name="20% - Accent4 2 7 2 2" xfId="671"/>
    <cellStyle name="20% - Accent4 2 7 2 2 2" xfId="6752"/>
    <cellStyle name="20% - Accent4 2 7 2 2 2 2" xfId="15034"/>
    <cellStyle name="20% - Accent4 2 7 2 2 3" xfId="9246"/>
    <cellStyle name="20% - Accent4 2 7 2 2 3 2" xfId="17524"/>
    <cellStyle name="20% - Accent4 2 7 2 2 4" xfId="3524"/>
    <cellStyle name="20% - Accent4 2 7 2 2 5" xfId="11850"/>
    <cellStyle name="20% - Accent4 2 7 2 3" xfId="6751"/>
    <cellStyle name="20% - Accent4 2 7 2 3 2" xfId="15033"/>
    <cellStyle name="20% - Accent4 2 7 2 4" xfId="9245"/>
    <cellStyle name="20% - Accent4 2 7 2 4 2" xfId="17523"/>
    <cellStyle name="20% - Accent4 2 7 2 5" xfId="3523"/>
    <cellStyle name="20% - Accent4 2 7 2 6" xfId="11849"/>
    <cellStyle name="20% - Accent4 2 7 3" xfId="672"/>
    <cellStyle name="20% - Accent4 2 7 3 2" xfId="6753"/>
    <cellStyle name="20% - Accent4 2 7 3 2 2" xfId="15035"/>
    <cellStyle name="20% - Accent4 2 7 3 3" xfId="9247"/>
    <cellStyle name="20% - Accent4 2 7 3 3 2" xfId="17525"/>
    <cellStyle name="20% - Accent4 2 7 3 4" xfId="3525"/>
    <cellStyle name="20% - Accent4 2 7 3 5" xfId="11851"/>
    <cellStyle name="20% - Accent4 2 7 4" xfId="673"/>
    <cellStyle name="20% - Accent4 2 7 4 2" xfId="6754"/>
    <cellStyle name="20% - Accent4 2 7 4 2 2" xfId="15036"/>
    <cellStyle name="20% - Accent4 2 7 4 3" xfId="9248"/>
    <cellStyle name="20% - Accent4 2 7 4 3 2" xfId="17526"/>
    <cellStyle name="20% - Accent4 2 7 4 4" xfId="3526"/>
    <cellStyle name="20% - Accent4 2 7 4 5" xfId="11852"/>
    <cellStyle name="20% - Accent4 2 7 5" xfId="3527"/>
    <cellStyle name="20% - Accent4 2 7 5 2" xfId="11853"/>
    <cellStyle name="20% - Accent4 2 7 6" xfId="5733"/>
    <cellStyle name="20% - Accent4 2 7 6 2" xfId="14019"/>
    <cellStyle name="20% - Accent4 2 7 7" xfId="6750"/>
    <cellStyle name="20% - Accent4 2 7 7 2" xfId="15032"/>
    <cellStyle name="20% - Accent4 2 7 8" xfId="9244"/>
    <cellStyle name="20% - Accent4 2 7 8 2" xfId="17522"/>
    <cellStyle name="20% - Accent4 2 7 9" xfId="3522"/>
    <cellStyle name="20% - Accent4 2 8" xfId="674"/>
    <cellStyle name="20% - Accent4 2 8 2" xfId="675"/>
    <cellStyle name="20% - Accent4 2 8 2 2" xfId="6756"/>
    <cellStyle name="20% - Accent4 2 8 2 2 2" xfId="15038"/>
    <cellStyle name="20% - Accent4 2 8 2 3" xfId="9250"/>
    <cellStyle name="20% - Accent4 2 8 2 3 2" xfId="17528"/>
    <cellStyle name="20% - Accent4 2 8 2 4" xfId="3529"/>
    <cellStyle name="20% - Accent4 2 8 2 5" xfId="11855"/>
    <cellStyle name="20% - Accent4 2 8 3" xfId="6755"/>
    <cellStyle name="20% - Accent4 2 8 3 2" xfId="15037"/>
    <cellStyle name="20% - Accent4 2 8 4" xfId="9249"/>
    <cellStyle name="20% - Accent4 2 8 4 2" xfId="17527"/>
    <cellStyle name="20% - Accent4 2 8 5" xfId="3528"/>
    <cellStyle name="20% - Accent4 2 8 6" xfId="11854"/>
    <cellStyle name="20% - Accent4 2 9" xfId="676"/>
    <cellStyle name="20% - Accent4 2 9 2" xfId="677"/>
    <cellStyle name="20% - Accent4 2 9 2 2" xfId="6758"/>
    <cellStyle name="20% - Accent4 2 9 2 2 2" xfId="15040"/>
    <cellStyle name="20% - Accent4 2 9 2 3" xfId="9252"/>
    <cellStyle name="20% - Accent4 2 9 2 3 2" xfId="17530"/>
    <cellStyle name="20% - Accent4 2 9 2 4" xfId="3531"/>
    <cellStyle name="20% - Accent4 2 9 2 5" xfId="11857"/>
    <cellStyle name="20% - Accent4 2 9 3" xfId="6757"/>
    <cellStyle name="20% - Accent4 2 9 3 2" xfId="15039"/>
    <cellStyle name="20% - Accent4 2 9 4" xfId="9251"/>
    <cellStyle name="20% - Accent4 2 9 4 2" xfId="17529"/>
    <cellStyle name="20% - Accent4 2 9 5" xfId="3530"/>
    <cellStyle name="20% - Accent4 2 9 6" xfId="11856"/>
    <cellStyle name="20% - Accent4 20" xfId="3409"/>
    <cellStyle name="20% - Accent4 21" xfId="11735"/>
    <cellStyle name="20% - Accent4 22" xfId="19353"/>
    <cellStyle name="20% - Accent4 3" xfId="678"/>
    <cellStyle name="20% - Accent4 3 10" xfId="5657"/>
    <cellStyle name="20% - Accent4 3 10 2" xfId="13944"/>
    <cellStyle name="20% - Accent4 3 11" xfId="6759"/>
    <cellStyle name="20% - Accent4 3 11 2" xfId="15041"/>
    <cellStyle name="20% - Accent4 3 12" xfId="9253"/>
    <cellStyle name="20% - Accent4 3 12 2" xfId="17531"/>
    <cellStyle name="20% - Accent4 3 13" xfId="3532"/>
    <cellStyle name="20% - Accent4 3 14" xfId="11858"/>
    <cellStyle name="20% - Accent4 3 2" xfId="679"/>
    <cellStyle name="20% - Accent4 3 2 10" xfId="3533"/>
    <cellStyle name="20% - Accent4 3 2 11" xfId="11859"/>
    <cellStyle name="20% - Accent4 3 2 2" xfId="680"/>
    <cellStyle name="20% - Accent4 3 2 2 2" xfId="681"/>
    <cellStyle name="20% - Accent4 3 2 2 2 2" xfId="6762"/>
    <cellStyle name="20% - Accent4 3 2 2 2 2 2" xfId="15044"/>
    <cellStyle name="20% - Accent4 3 2 2 2 3" xfId="9256"/>
    <cellStyle name="20% - Accent4 3 2 2 2 3 2" xfId="17534"/>
    <cellStyle name="20% - Accent4 3 2 2 2 4" xfId="3535"/>
    <cellStyle name="20% - Accent4 3 2 2 2 5" xfId="11861"/>
    <cellStyle name="20% - Accent4 3 2 2 3" xfId="6761"/>
    <cellStyle name="20% - Accent4 3 2 2 3 2" xfId="15043"/>
    <cellStyle name="20% - Accent4 3 2 2 4" xfId="9255"/>
    <cellStyle name="20% - Accent4 3 2 2 4 2" xfId="17533"/>
    <cellStyle name="20% - Accent4 3 2 2 5" xfId="3534"/>
    <cellStyle name="20% - Accent4 3 2 2 6" xfId="11860"/>
    <cellStyle name="20% - Accent4 3 2 3" xfId="682"/>
    <cellStyle name="20% - Accent4 3 2 3 2" xfId="683"/>
    <cellStyle name="20% - Accent4 3 2 3 2 2" xfId="6764"/>
    <cellStyle name="20% - Accent4 3 2 3 2 2 2" xfId="15046"/>
    <cellStyle name="20% - Accent4 3 2 3 2 3" xfId="9258"/>
    <cellStyle name="20% - Accent4 3 2 3 2 3 2" xfId="17536"/>
    <cellStyle name="20% - Accent4 3 2 3 2 4" xfId="3537"/>
    <cellStyle name="20% - Accent4 3 2 3 2 5" xfId="11863"/>
    <cellStyle name="20% - Accent4 3 2 3 3" xfId="6763"/>
    <cellStyle name="20% - Accent4 3 2 3 3 2" xfId="15045"/>
    <cellStyle name="20% - Accent4 3 2 3 4" xfId="9257"/>
    <cellStyle name="20% - Accent4 3 2 3 4 2" xfId="17535"/>
    <cellStyle name="20% - Accent4 3 2 3 5" xfId="3536"/>
    <cellStyle name="20% - Accent4 3 2 3 6" xfId="11862"/>
    <cellStyle name="20% - Accent4 3 2 4" xfId="684"/>
    <cellStyle name="20% - Accent4 3 2 4 2" xfId="6765"/>
    <cellStyle name="20% - Accent4 3 2 4 2 2" xfId="15047"/>
    <cellStyle name="20% - Accent4 3 2 4 3" xfId="9259"/>
    <cellStyle name="20% - Accent4 3 2 4 3 2" xfId="17537"/>
    <cellStyle name="20% - Accent4 3 2 4 4" xfId="3538"/>
    <cellStyle name="20% - Accent4 3 2 4 5" xfId="11864"/>
    <cellStyle name="20% - Accent4 3 2 5" xfId="685"/>
    <cellStyle name="20% - Accent4 3 2 5 2" xfId="6766"/>
    <cellStyle name="20% - Accent4 3 2 5 2 2" xfId="15048"/>
    <cellStyle name="20% - Accent4 3 2 5 3" xfId="9260"/>
    <cellStyle name="20% - Accent4 3 2 5 3 2" xfId="17538"/>
    <cellStyle name="20% - Accent4 3 2 5 4" xfId="3539"/>
    <cellStyle name="20% - Accent4 3 2 5 5" xfId="11865"/>
    <cellStyle name="20% - Accent4 3 2 6" xfId="3540"/>
    <cellStyle name="20% - Accent4 3 2 6 2" xfId="11866"/>
    <cellStyle name="20% - Accent4 3 2 7" xfId="5860"/>
    <cellStyle name="20% - Accent4 3 2 7 2" xfId="14142"/>
    <cellStyle name="20% - Accent4 3 2 8" xfId="6760"/>
    <cellStyle name="20% - Accent4 3 2 8 2" xfId="15042"/>
    <cellStyle name="20% - Accent4 3 2 9" xfId="9254"/>
    <cellStyle name="20% - Accent4 3 2 9 2" xfId="17532"/>
    <cellStyle name="20% - Accent4 3 3" xfId="686"/>
    <cellStyle name="20% - Accent4 3 3 10" xfId="3541"/>
    <cellStyle name="20% - Accent4 3 3 11" xfId="11867"/>
    <cellStyle name="20% - Accent4 3 3 2" xfId="687"/>
    <cellStyle name="20% - Accent4 3 3 2 2" xfId="688"/>
    <cellStyle name="20% - Accent4 3 3 2 2 2" xfId="6769"/>
    <cellStyle name="20% - Accent4 3 3 2 2 2 2" xfId="15051"/>
    <cellStyle name="20% - Accent4 3 3 2 2 3" xfId="9263"/>
    <cellStyle name="20% - Accent4 3 3 2 2 3 2" xfId="17541"/>
    <cellStyle name="20% - Accent4 3 3 2 2 4" xfId="3543"/>
    <cellStyle name="20% - Accent4 3 3 2 2 5" xfId="11869"/>
    <cellStyle name="20% - Accent4 3 3 2 3" xfId="6768"/>
    <cellStyle name="20% - Accent4 3 3 2 3 2" xfId="15050"/>
    <cellStyle name="20% - Accent4 3 3 2 4" xfId="9262"/>
    <cellStyle name="20% - Accent4 3 3 2 4 2" xfId="17540"/>
    <cellStyle name="20% - Accent4 3 3 2 5" xfId="3542"/>
    <cellStyle name="20% - Accent4 3 3 2 6" xfId="11868"/>
    <cellStyle name="20% - Accent4 3 3 3" xfId="689"/>
    <cellStyle name="20% - Accent4 3 3 3 2" xfId="690"/>
    <cellStyle name="20% - Accent4 3 3 3 2 2" xfId="6771"/>
    <cellStyle name="20% - Accent4 3 3 3 2 2 2" xfId="15053"/>
    <cellStyle name="20% - Accent4 3 3 3 2 3" xfId="9265"/>
    <cellStyle name="20% - Accent4 3 3 3 2 3 2" xfId="17543"/>
    <cellStyle name="20% - Accent4 3 3 3 2 4" xfId="3545"/>
    <cellStyle name="20% - Accent4 3 3 3 2 5" xfId="11871"/>
    <cellStyle name="20% - Accent4 3 3 3 3" xfId="6770"/>
    <cellStyle name="20% - Accent4 3 3 3 3 2" xfId="15052"/>
    <cellStyle name="20% - Accent4 3 3 3 4" xfId="9264"/>
    <cellStyle name="20% - Accent4 3 3 3 4 2" xfId="17542"/>
    <cellStyle name="20% - Accent4 3 3 3 5" xfId="3544"/>
    <cellStyle name="20% - Accent4 3 3 3 6" xfId="11870"/>
    <cellStyle name="20% - Accent4 3 3 4" xfId="691"/>
    <cellStyle name="20% - Accent4 3 3 4 2" xfId="6772"/>
    <cellStyle name="20% - Accent4 3 3 4 2 2" xfId="15054"/>
    <cellStyle name="20% - Accent4 3 3 4 3" xfId="9266"/>
    <cellStyle name="20% - Accent4 3 3 4 3 2" xfId="17544"/>
    <cellStyle name="20% - Accent4 3 3 4 4" xfId="3546"/>
    <cellStyle name="20% - Accent4 3 3 4 5" xfId="11872"/>
    <cellStyle name="20% - Accent4 3 3 5" xfId="692"/>
    <cellStyle name="20% - Accent4 3 3 5 2" xfId="6773"/>
    <cellStyle name="20% - Accent4 3 3 5 2 2" xfId="15055"/>
    <cellStyle name="20% - Accent4 3 3 5 3" xfId="9267"/>
    <cellStyle name="20% - Accent4 3 3 5 3 2" xfId="17545"/>
    <cellStyle name="20% - Accent4 3 3 5 4" xfId="3547"/>
    <cellStyle name="20% - Accent4 3 3 5 5" xfId="11873"/>
    <cellStyle name="20% - Accent4 3 3 6" xfId="3548"/>
    <cellStyle name="20% - Accent4 3 3 6 2" xfId="11874"/>
    <cellStyle name="20% - Accent4 3 3 7" xfId="5958"/>
    <cellStyle name="20% - Accent4 3 3 7 2" xfId="14240"/>
    <cellStyle name="20% - Accent4 3 3 8" xfId="6767"/>
    <cellStyle name="20% - Accent4 3 3 8 2" xfId="15049"/>
    <cellStyle name="20% - Accent4 3 3 9" xfId="9261"/>
    <cellStyle name="20% - Accent4 3 3 9 2" xfId="17539"/>
    <cellStyle name="20% - Accent4 3 4" xfId="693"/>
    <cellStyle name="20% - Accent4 3 4 10" xfId="11875"/>
    <cellStyle name="20% - Accent4 3 4 2" xfId="694"/>
    <cellStyle name="20% - Accent4 3 4 2 2" xfId="695"/>
    <cellStyle name="20% - Accent4 3 4 2 2 2" xfId="6776"/>
    <cellStyle name="20% - Accent4 3 4 2 2 2 2" xfId="15058"/>
    <cellStyle name="20% - Accent4 3 4 2 2 3" xfId="9270"/>
    <cellStyle name="20% - Accent4 3 4 2 2 3 2" xfId="17548"/>
    <cellStyle name="20% - Accent4 3 4 2 2 4" xfId="3551"/>
    <cellStyle name="20% - Accent4 3 4 2 2 5" xfId="11877"/>
    <cellStyle name="20% - Accent4 3 4 2 3" xfId="6775"/>
    <cellStyle name="20% - Accent4 3 4 2 3 2" xfId="15057"/>
    <cellStyle name="20% - Accent4 3 4 2 4" xfId="9269"/>
    <cellStyle name="20% - Accent4 3 4 2 4 2" xfId="17547"/>
    <cellStyle name="20% - Accent4 3 4 2 5" xfId="3550"/>
    <cellStyle name="20% - Accent4 3 4 2 6" xfId="11876"/>
    <cellStyle name="20% - Accent4 3 4 3" xfId="696"/>
    <cellStyle name="20% - Accent4 3 4 3 2" xfId="6777"/>
    <cellStyle name="20% - Accent4 3 4 3 2 2" xfId="15059"/>
    <cellStyle name="20% - Accent4 3 4 3 3" xfId="9271"/>
    <cellStyle name="20% - Accent4 3 4 3 3 2" xfId="17549"/>
    <cellStyle name="20% - Accent4 3 4 3 4" xfId="3552"/>
    <cellStyle name="20% - Accent4 3 4 3 5" xfId="11878"/>
    <cellStyle name="20% - Accent4 3 4 4" xfId="697"/>
    <cellStyle name="20% - Accent4 3 4 4 2" xfId="6778"/>
    <cellStyle name="20% - Accent4 3 4 4 2 2" xfId="15060"/>
    <cellStyle name="20% - Accent4 3 4 4 3" xfId="9272"/>
    <cellStyle name="20% - Accent4 3 4 4 3 2" xfId="17550"/>
    <cellStyle name="20% - Accent4 3 4 4 4" xfId="3553"/>
    <cellStyle name="20% - Accent4 3 4 4 5" xfId="11879"/>
    <cellStyle name="20% - Accent4 3 4 5" xfId="3554"/>
    <cellStyle name="20% - Accent4 3 4 5 2" xfId="11880"/>
    <cellStyle name="20% - Accent4 3 4 6" xfId="5774"/>
    <cellStyle name="20% - Accent4 3 4 6 2" xfId="14056"/>
    <cellStyle name="20% - Accent4 3 4 7" xfId="6774"/>
    <cellStyle name="20% - Accent4 3 4 7 2" xfId="15056"/>
    <cellStyle name="20% - Accent4 3 4 8" xfId="9268"/>
    <cellStyle name="20% - Accent4 3 4 8 2" xfId="17546"/>
    <cellStyle name="20% - Accent4 3 4 9" xfId="3549"/>
    <cellStyle name="20% - Accent4 3 5" xfId="698"/>
    <cellStyle name="20% - Accent4 3 5 2" xfId="699"/>
    <cellStyle name="20% - Accent4 3 5 2 2" xfId="6780"/>
    <cellStyle name="20% - Accent4 3 5 2 2 2" xfId="15062"/>
    <cellStyle name="20% - Accent4 3 5 2 3" xfId="9274"/>
    <cellStyle name="20% - Accent4 3 5 2 3 2" xfId="17552"/>
    <cellStyle name="20% - Accent4 3 5 2 4" xfId="3556"/>
    <cellStyle name="20% - Accent4 3 5 2 5" xfId="11882"/>
    <cellStyle name="20% - Accent4 3 5 3" xfId="6779"/>
    <cellStyle name="20% - Accent4 3 5 3 2" xfId="15061"/>
    <cellStyle name="20% - Accent4 3 5 4" xfId="9273"/>
    <cellStyle name="20% - Accent4 3 5 4 2" xfId="17551"/>
    <cellStyle name="20% - Accent4 3 5 5" xfId="3555"/>
    <cellStyle name="20% - Accent4 3 5 6" xfId="11881"/>
    <cellStyle name="20% - Accent4 3 6" xfId="700"/>
    <cellStyle name="20% - Accent4 3 6 2" xfId="701"/>
    <cellStyle name="20% - Accent4 3 6 2 2" xfId="6782"/>
    <cellStyle name="20% - Accent4 3 6 2 2 2" xfId="15064"/>
    <cellStyle name="20% - Accent4 3 6 2 3" xfId="9276"/>
    <cellStyle name="20% - Accent4 3 6 2 3 2" xfId="17554"/>
    <cellStyle name="20% - Accent4 3 6 2 4" xfId="3558"/>
    <cellStyle name="20% - Accent4 3 6 2 5" xfId="11884"/>
    <cellStyle name="20% - Accent4 3 6 3" xfId="6781"/>
    <cellStyle name="20% - Accent4 3 6 3 2" xfId="15063"/>
    <cellStyle name="20% - Accent4 3 6 4" xfId="9275"/>
    <cellStyle name="20% - Accent4 3 6 4 2" xfId="17553"/>
    <cellStyle name="20% - Accent4 3 6 5" xfId="3557"/>
    <cellStyle name="20% - Accent4 3 6 6" xfId="11883"/>
    <cellStyle name="20% - Accent4 3 7" xfId="702"/>
    <cellStyle name="20% - Accent4 3 7 2" xfId="6783"/>
    <cellStyle name="20% - Accent4 3 7 2 2" xfId="15065"/>
    <cellStyle name="20% - Accent4 3 7 3" xfId="9277"/>
    <cellStyle name="20% - Accent4 3 7 3 2" xfId="17555"/>
    <cellStyle name="20% - Accent4 3 7 4" xfId="3559"/>
    <cellStyle name="20% - Accent4 3 7 5" xfId="11885"/>
    <cellStyle name="20% - Accent4 3 8" xfId="703"/>
    <cellStyle name="20% - Accent4 3 8 2" xfId="6784"/>
    <cellStyle name="20% - Accent4 3 8 2 2" xfId="15066"/>
    <cellStyle name="20% - Accent4 3 8 3" xfId="9278"/>
    <cellStyle name="20% - Accent4 3 8 3 2" xfId="17556"/>
    <cellStyle name="20% - Accent4 3 8 4" xfId="3560"/>
    <cellStyle name="20% - Accent4 3 8 5" xfId="11886"/>
    <cellStyle name="20% - Accent4 3 9" xfId="3561"/>
    <cellStyle name="20% - Accent4 3 9 2" xfId="11887"/>
    <cellStyle name="20% - Accent4 4" xfId="704"/>
    <cellStyle name="20% - Accent4 4 10" xfId="5686"/>
    <cellStyle name="20% - Accent4 4 10 2" xfId="13972"/>
    <cellStyle name="20% - Accent4 4 11" xfId="6785"/>
    <cellStyle name="20% - Accent4 4 11 2" xfId="15067"/>
    <cellStyle name="20% - Accent4 4 12" xfId="9279"/>
    <cellStyle name="20% - Accent4 4 12 2" xfId="17557"/>
    <cellStyle name="20% - Accent4 4 13" xfId="3562"/>
    <cellStyle name="20% - Accent4 4 14" xfId="11888"/>
    <cellStyle name="20% - Accent4 4 2" xfId="705"/>
    <cellStyle name="20% - Accent4 4 2 10" xfId="3563"/>
    <cellStyle name="20% - Accent4 4 2 11" xfId="11889"/>
    <cellStyle name="20% - Accent4 4 2 2" xfId="706"/>
    <cellStyle name="20% - Accent4 4 2 2 2" xfId="707"/>
    <cellStyle name="20% - Accent4 4 2 2 2 2" xfId="6788"/>
    <cellStyle name="20% - Accent4 4 2 2 2 2 2" xfId="15070"/>
    <cellStyle name="20% - Accent4 4 2 2 2 3" xfId="9282"/>
    <cellStyle name="20% - Accent4 4 2 2 2 3 2" xfId="17560"/>
    <cellStyle name="20% - Accent4 4 2 2 2 4" xfId="3565"/>
    <cellStyle name="20% - Accent4 4 2 2 2 5" xfId="11891"/>
    <cellStyle name="20% - Accent4 4 2 2 3" xfId="6787"/>
    <cellStyle name="20% - Accent4 4 2 2 3 2" xfId="15069"/>
    <cellStyle name="20% - Accent4 4 2 2 4" xfId="9281"/>
    <cellStyle name="20% - Accent4 4 2 2 4 2" xfId="17559"/>
    <cellStyle name="20% - Accent4 4 2 2 5" xfId="3564"/>
    <cellStyle name="20% - Accent4 4 2 2 6" xfId="11890"/>
    <cellStyle name="20% - Accent4 4 2 3" xfId="708"/>
    <cellStyle name="20% - Accent4 4 2 3 2" xfId="709"/>
    <cellStyle name="20% - Accent4 4 2 3 2 2" xfId="6790"/>
    <cellStyle name="20% - Accent4 4 2 3 2 2 2" xfId="15072"/>
    <cellStyle name="20% - Accent4 4 2 3 2 3" xfId="9284"/>
    <cellStyle name="20% - Accent4 4 2 3 2 3 2" xfId="17562"/>
    <cellStyle name="20% - Accent4 4 2 3 2 4" xfId="3567"/>
    <cellStyle name="20% - Accent4 4 2 3 2 5" xfId="11893"/>
    <cellStyle name="20% - Accent4 4 2 3 3" xfId="6789"/>
    <cellStyle name="20% - Accent4 4 2 3 3 2" xfId="15071"/>
    <cellStyle name="20% - Accent4 4 2 3 4" xfId="9283"/>
    <cellStyle name="20% - Accent4 4 2 3 4 2" xfId="17561"/>
    <cellStyle name="20% - Accent4 4 2 3 5" xfId="3566"/>
    <cellStyle name="20% - Accent4 4 2 3 6" xfId="11892"/>
    <cellStyle name="20% - Accent4 4 2 4" xfId="710"/>
    <cellStyle name="20% - Accent4 4 2 4 2" xfId="6791"/>
    <cellStyle name="20% - Accent4 4 2 4 2 2" xfId="15073"/>
    <cellStyle name="20% - Accent4 4 2 4 3" xfId="9285"/>
    <cellStyle name="20% - Accent4 4 2 4 3 2" xfId="17563"/>
    <cellStyle name="20% - Accent4 4 2 4 4" xfId="3568"/>
    <cellStyle name="20% - Accent4 4 2 4 5" xfId="11894"/>
    <cellStyle name="20% - Accent4 4 2 5" xfId="711"/>
    <cellStyle name="20% - Accent4 4 2 5 2" xfId="6792"/>
    <cellStyle name="20% - Accent4 4 2 5 2 2" xfId="15074"/>
    <cellStyle name="20% - Accent4 4 2 5 3" xfId="9286"/>
    <cellStyle name="20% - Accent4 4 2 5 3 2" xfId="17564"/>
    <cellStyle name="20% - Accent4 4 2 5 4" xfId="3569"/>
    <cellStyle name="20% - Accent4 4 2 5 5" xfId="11895"/>
    <cellStyle name="20% - Accent4 4 2 6" xfId="3570"/>
    <cellStyle name="20% - Accent4 4 2 6 2" xfId="11896"/>
    <cellStyle name="20% - Accent4 4 2 7" xfId="5888"/>
    <cellStyle name="20% - Accent4 4 2 7 2" xfId="14170"/>
    <cellStyle name="20% - Accent4 4 2 8" xfId="6786"/>
    <cellStyle name="20% - Accent4 4 2 8 2" xfId="15068"/>
    <cellStyle name="20% - Accent4 4 2 9" xfId="9280"/>
    <cellStyle name="20% - Accent4 4 2 9 2" xfId="17558"/>
    <cellStyle name="20% - Accent4 4 3" xfId="712"/>
    <cellStyle name="20% - Accent4 4 3 10" xfId="3571"/>
    <cellStyle name="20% - Accent4 4 3 11" xfId="11897"/>
    <cellStyle name="20% - Accent4 4 3 2" xfId="713"/>
    <cellStyle name="20% - Accent4 4 3 2 2" xfId="714"/>
    <cellStyle name="20% - Accent4 4 3 2 2 2" xfId="6795"/>
    <cellStyle name="20% - Accent4 4 3 2 2 2 2" xfId="15077"/>
    <cellStyle name="20% - Accent4 4 3 2 2 3" xfId="9289"/>
    <cellStyle name="20% - Accent4 4 3 2 2 3 2" xfId="17567"/>
    <cellStyle name="20% - Accent4 4 3 2 2 4" xfId="3573"/>
    <cellStyle name="20% - Accent4 4 3 2 2 5" xfId="11899"/>
    <cellStyle name="20% - Accent4 4 3 2 3" xfId="6794"/>
    <cellStyle name="20% - Accent4 4 3 2 3 2" xfId="15076"/>
    <cellStyle name="20% - Accent4 4 3 2 4" xfId="9288"/>
    <cellStyle name="20% - Accent4 4 3 2 4 2" xfId="17566"/>
    <cellStyle name="20% - Accent4 4 3 2 5" xfId="3572"/>
    <cellStyle name="20% - Accent4 4 3 2 6" xfId="11898"/>
    <cellStyle name="20% - Accent4 4 3 3" xfId="715"/>
    <cellStyle name="20% - Accent4 4 3 3 2" xfId="716"/>
    <cellStyle name="20% - Accent4 4 3 3 2 2" xfId="6797"/>
    <cellStyle name="20% - Accent4 4 3 3 2 2 2" xfId="15079"/>
    <cellStyle name="20% - Accent4 4 3 3 2 3" xfId="9291"/>
    <cellStyle name="20% - Accent4 4 3 3 2 3 2" xfId="17569"/>
    <cellStyle name="20% - Accent4 4 3 3 2 4" xfId="3575"/>
    <cellStyle name="20% - Accent4 4 3 3 2 5" xfId="11901"/>
    <cellStyle name="20% - Accent4 4 3 3 3" xfId="6796"/>
    <cellStyle name="20% - Accent4 4 3 3 3 2" xfId="15078"/>
    <cellStyle name="20% - Accent4 4 3 3 4" xfId="9290"/>
    <cellStyle name="20% - Accent4 4 3 3 4 2" xfId="17568"/>
    <cellStyle name="20% - Accent4 4 3 3 5" xfId="3574"/>
    <cellStyle name="20% - Accent4 4 3 3 6" xfId="11900"/>
    <cellStyle name="20% - Accent4 4 3 4" xfId="717"/>
    <cellStyle name="20% - Accent4 4 3 4 2" xfId="6798"/>
    <cellStyle name="20% - Accent4 4 3 4 2 2" xfId="15080"/>
    <cellStyle name="20% - Accent4 4 3 4 3" xfId="9292"/>
    <cellStyle name="20% - Accent4 4 3 4 3 2" xfId="17570"/>
    <cellStyle name="20% - Accent4 4 3 4 4" xfId="3576"/>
    <cellStyle name="20% - Accent4 4 3 4 5" xfId="11902"/>
    <cellStyle name="20% - Accent4 4 3 5" xfId="718"/>
    <cellStyle name="20% - Accent4 4 3 5 2" xfId="6799"/>
    <cellStyle name="20% - Accent4 4 3 5 2 2" xfId="15081"/>
    <cellStyle name="20% - Accent4 4 3 5 3" xfId="9293"/>
    <cellStyle name="20% - Accent4 4 3 5 3 2" xfId="17571"/>
    <cellStyle name="20% - Accent4 4 3 5 4" xfId="3577"/>
    <cellStyle name="20% - Accent4 4 3 5 5" xfId="11903"/>
    <cellStyle name="20% - Accent4 4 3 6" xfId="3578"/>
    <cellStyle name="20% - Accent4 4 3 6 2" xfId="11904"/>
    <cellStyle name="20% - Accent4 4 3 7" xfId="5986"/>
    <cellStyle name="20% - Accent4 4 3 7 2" xfId="14268"/>
    <cellStyle name="20% - Accent4 4 3 8" xfId="6793"/>
    <cellStyle name="20% - Accent4 4 3 8 2" xfId="15075"/>
    <cellStyle name="20% - Accent4 4 3 9" xfId="9287"/>
    <cellStyle name="20% - Accent4 4 3 9 2" xfId="17565"/>
    <cellStyle name="20% - Accent4 4 4" xfId="719"/>
    <cellStyle name="20% - Accent4 4 4 10" xfId="11905"/>
    <cellStyle name="20% - Accent4 4 4 2" xfId="720"/>
    <cellStyle name="20% - Accent4 4 4 2 2" xfId="721"/>
    <cellStyle name="20% - Accent4 4 4 2 2 2" xfId="6802"/>
    <cellStyle name="20% - Accent4 4 4 2 2 2 2" xfId="15084"/>
    <cellStyle name="20% - Accent4 4 4 2 2 3" xfId="9296"/>
    <cellStyle name="20% - Accent4 4 4 2 2 3 2" xfId="17574"/>
    <cellStyle name="20% - Accent4 4 4 2 2 4" xfId="3581"/>
    <cellStyle name="20% - Accent4 4 4 2 2 5" xfId="11907"/>
    <cellStyle name="20% - Accent4 4 4 2 3" xfId="6801"/>
    <cellStyle name="20% - Accent4 4 4 2 3 2" xfId="15083"/>
    <cellStyle name="20% - Accent4 4 4 2 4" xfId="9295"/>
    <cellStyle name="20% - Accent4 4 4 2 4 2" xfId="17573"/>
    <cellStyle name="20% - Accent4 4 4 2 5" xfId="3580"/>
    <cellStyle name="20% - Accent4 4 4 2 6" xfId="11906"/>
    <cellStyle name="20% - Accent4 4 4 3" xfId="722"/>
    <cellStyle name="20% - Accent4 4 4 3 2" xfId="6803"/>
    <cellStyle name="20% - Accent4 4 4 3 2 2" xfId="15085"/>
    <cellStyle name="20% - Accent4 4 4 3 3" xfId="9297"/>
    <cellStyle name="20% - Accent4 4 4 3 3 2" xfId="17575"/>
    <cellStyle name="20% - Accent4 4 4 3 4" xfId="3582"/>
    <cellStyle name="20% - Accent4 4 4 3 5" xfId="11908"/>
    <cellStyle name="20% - Accent4 4 4 4" xfId="723"/>
    <cellStyle name="20% - Accent4 4 4 4 2" xfId="6804"/>
    <cellStyle name="20% - Accent4 4 4 4 2 2" xfId="15086"/>
    <cellStyle name="20% - Accent4 4 4 4 3" xfId="9298"/>
    <cellStyle name="20% - Accent4 4 4 4 3 2" xfId="17576"/>
    <cellStyle name="20% - Accent4 4 4 4 4" xfId="3583"/>
    <cellStyle name="20% - Accent4 4 4 4 5" xfId="11909"/>
    <cellStyle name="20% - Accent4 4 4 5" xfId="3584"/>
    <cellStyle name="20% - Accent4 4 4 5 2" xfId="11910"/>
    <cellStyle name="20% - Accent4 4 4 6" xfId="5802"/>
    <cellStyle name="20% - Accent4 4 4 6 2" xfId="14084"/>
    <cellStyle name="20% - Accent4 4 4 7" xfId="6800"/>
    <cellStyle name="20% - Accent4 4 4 7 2" xfId="15082"/>
    <cellStyle name="20% - Accent4 4 4 8" xfId="9294"/>
    <cellStyle name="20% - Accent4 4 4 8 2" xfId="17572"/>
    <cellStyle name="20% - Accent4 4 4 9" xfId="3579"/>
    <cellStyle name="20% - Accent4 4 5" xfId="724"/>
    <cellStyle name="20% - Accent4 4 5 2" xfId="725"/>
    <cellStyle name="20% - Accent4 4 5 2 2" xfId="6806"/>
    <cellStyle name="20% - Accent4 4 5 2 2 2" xfId="15088"/>
    <cellStyle name="20% - Accent4 4 5 2 3" xfId="9300"/>
    <cellStyle name="20% - Accent4 4 5 2 3 2" xfId="17578"/>
    <cellStyle name="20% - Accent4 4 5 2 4" xfId="3586"/>
    <cellStyle name="20% - Accent4 4 5 2 5" xfId="11912"/>
    <cellStyle name="20% - Accent4 4 5 3" xfId="6805"/>
    <cellStyle name="20% - Accent4 4 5 3 2" xfId="15087"/>
    <cellStyle name="20% - Accent4 4 5 4" xfId="9299"/>
    <cellStyle name="20% - Accent4 4 5 4 2" xfId="17577"/>
    <cellStyle name="20% - Accent4 4 5 5" xfId="3585"/>
    <cellStyle name="20% - Accent4 4 5 6" xfId="11911"/>
    <cellStyle name="20% - Accent4 4 6" xfId="726"/>
    <cellStyle name="20% - Accent4 4 6 2" xfId="727"/>
    <cellStyle name="20% - Accent4 4 6 2 2" xfId="6808"/>
    <cellStyle name="20% - Accent4 4 6 2 2 2" xfId="15090"/>
    <cellStyle name="20% - Accent4 4 6 2 3" xfId="9302"/>
    <cellStyle name="20% - Accent4 4 6 2 3 2" xfId="17580"/>
    <cellStyle name="20% - Accent4 4 6 2 4" xfId="3588"/>
    <cellStyle name="20% - Accent4 4 6 2 5" xfId="11914"/>
    <cellStyle name="20% - Accent4 4 6 3" xfId="6807"/>
    <cellStyle name="20% - Accent4 4 6 3 2" xfId="15089"/>
    <cellStyle name="20% - Accent4 4 6 4" xfId="9301"/>
    <cellStyle name="20% - Accent4 4 6 4 2" xfId="17579"/>
    <cellStyle name="20% - Accent4 4 6 5" xfId="3587"/>
    <cellStyle name="20% - Accent4 4 6 6" xfId="11913"/>
    <cellStyle name="20% - Accent4 4 7" xfId="728"/>
    <cellStyle name="20% - Accent4 4 7 2" xfId="6809"/>
    <cellStyle name="20% - Accent4 4 7 2 2" xfId="15091"/>
    <cellStyle name="20% - Accent4 4 7 3" xfId="9303"/>
    <cellStyle name="20% - Accent4 4 7 3 2" xfId="17581"/>
    <cellStyle name="20% - Accent4 4 7 4" xfId="3589"/>
    <cellStyle name="20% - Accent4 4 7 5" xfId="11915"/>
    <cellStyle name="20% - Accent4 4 8" xfId="729"/>
    <cellStyle name="20% - Accent4 4 8 2" xfId="6810"/>
    <cellStyle name="20% - Accent4 4 8 2 2" xfId="15092"/>
    <cellStyle name="20% - Accent4 4 8 3" xfId="9304"/>
    <cellStyle name="20% - Accent4 4 8 3 2" xfId="17582"/>
    <cellStyle name="20% - Accent4 4 8 4" xfId="3590"/>
    <cellStyle name="20% - Accent4 4 8 5" xfId="11916"/>
    <cellStyle name="20% - Accent4 4 9" xfId="3591"/>
    <cellStyle name="20% - Accent4 4 9 2" xfId="11917"/>
    <cellStyle name="20% - Accent4 5" xfId="730"/>
    <cellStyle name="20% - Accent4 5 10" xfId="3592"/>
    <cellStyle name="20% - Accent4 5 11" xfId="11918"/>
    <cellStyle name="20% - Accent4 5 2" xfId="731"/>
    <cellStyle name="20% - Accent4 5 2 2" xfId="732"/>
    <cellStyle name="20% - Accent4 5 2 2 2" xfId="6813"/>
    <cellStyle name="20% - Accent4 5 2 2 2 2" xfId="15095"/>
    <cellStyle name="20% - Accent4 5 2 2 3" xfId="9307"/>
    <cellStyle name="20% - Accent4 5 2 2 3 2" xfId="17585"/>
    <cellStyle name="20% - Accent4 5 2 2 4" xfId="3594"/>
    <cellStyle name="20% - Accent4 5 2 2 5" xfId="11920"/>
    <cellStyle name="20% - Accent4 5 2 3" xfId="6812"/>
    <cellStyle name="20% - Accent4 5 2 3 2" xfId="15094"/>
    <cellStyle name="20% - Accent4 5 2 4" xfId="9306"/>
    <cellStyle name="20% - Accent4 5 2 4 2" xfId="17584"/>
    <cellStyle name="20% - Accent4 5 2 5" xfId="3593"/>
    <cellStyle name="20% - Accent4 5 2 6" xfId="11919"/>
    <cellStyle name="20% - Accent4 5 3" xfId="733"/>
    <cellStyle name="20% - Accent4 5 3 2" xfId="734"/>
    <cellStyle name="20% - Accent4 5 3 2 2" xfId="6815"/>
    <cellStyle name="20% - Accent4 5 3 2 2 2" xfId="15097"/>
    <cellStyle name="20% - Accent4 5 3 2 3" xfId="9309"/>
    <cellStyle name="20% - Accent4 5 3 2 3 2" xfId="17587"/>
    <cellStyle name="20% - Accent4 5 3 2 4" xfId="3596"/>
    <cellStyle name="20% - Accent4 5 3 2 5" xfId="11922"/>
    <cellStyle name="20% - Accent4 5 3 3" xfId="6814"/>
    <cellStyle name="20% - Accent4 5 3 3 2" xfId="15096"/>
    <cellStyle name="20% - Accent4 5 3 4" xfId="9308"/>
    <cellStyle name="20% - Accent4 5 3 4 2" xfId="17586"/>
    <cellStyle name="20% - Accent4 5 3 5" xfId="3595"/>
    <cellStyle name="20% - Accent4 5 3 6" xfId="11921"/>
    <cellStyle name="20% - Accent4 5 4" xfId="735"/>
    <cellStyle name="20% - Accent4 5 4 2" xfId="6816"/>
    <cellStyle name="20% - Accent4 5 4 2 2" xfId="15098"/>
    <cellStyle name="20% - Accent4 5 4 3" xfId="9310"/>
    <cellStyle name="20% - Accent4 5 4 3 2" xfId="17588"/>
    <cellStyle name="20% - Accent4 5 4 4" xfId="3597"/>
    <cellStyle name="20% - Accent4 5 4 5" xfId="11923"/>
    <cellStyle name="20% - Accent4 5 5" xfId="736"/>
    <cellStyle name="20% - Accent4 5 5 2" xfId="6817"/>
    <cellStyle name="20% - Accent4 5 5 2 2" xfId="15099"/>
    <cellStyle name="20% - Accent4 5 5 3" xfId="9311"/>
    <cellStyle name="20% - Accent4 5 5 3 2" xfId="17589"/>
    <cellStyle name="20% - Accent4 5 5 4" xfId="3598"/>
    <cellStyle name="20% - Accent4 5 5 5" xfId="11924"/>
    <cellStyle name="20% - Accent4 5 6" xfId="3599"/>
    <cellStyle name="20% - Accent4 5 6 2" xfId="11925"/>
    <cellStyle name="20% - Accent4 5 7" xfId="5746"/>
    <cellStyle name="20% - Accent4 5 7 2" xfId="14031"/>
    <cellStyle name="20% - Accent4 5 8" xfId="6811"/>
    <cellStyle name="20% - Accent4 5 8 2" xfId="15093"/>
    <cellStyle name="20% - Accent4 5 9" xfId="9305"/>
    <cellStyle name="20% - Accent4 5 9 2" xfId="17583"/>
    <cellStyle name="20% - Accent4 6" xfId="737"/>
    <cellStyle name="20% - Accent4 6 10" xfId="3600"/>
    <cellStyle name="20% - Accent4 6 11" xfId="11926"/>
    <cellStyle name="20% - Accent4 6 2" xfId="738"/>
    <cellStyle name="20% - Accent4 6 2 2" xfId="739"/>
    <cellStyle name="20% - Accent4 6 2 2 2" xfId="6820"/>
    <cellStyle name="20% - Accent4 6 2 2 2 2" xfId="15102"/>
    <cellStyle name="20% - Accent4 6 2 2 3" xfId="9314"/>
    <cellStyle name="20% - Accent4 6 2 2 3 2" xfId="17592"/>
    <cellStyle name="20% - Accent4 6 2 2 4" xfId="3602"/>
    <cellStyle name="20% - Accent4 6 2 2 5" xfId="11928"/>
    <cellStyle name="20% - Accent4 6 2 3" xfId="6819"/>
    <cellStyle name="20% - Accent4 6 2 3 2" xfId="15101"/>
    <cellStyle name="20% - Accent4 6 2 4" xfId="9313"/>
    <cellStyle name="20% - Accent4 6 2 4 2" xfId="17591"/>
    <cellStyle name="20% - Accent4 6 2 5" xfId="3601"/>
    <cellStyle name="20% - Accent4 6 2 6" xfId="11927"/>
    <cellStyle name="20% - Accent4 6 3" xfId="740"/>
    <cellStyle name="20% - Accent4 6 3 2" xfId="741"/>
    <cellStyle name="20% - Accent4 6 3 2 2" xfId="6822"/>
    <cellStyle name="20% - Accent4 6 3 2 2 2" xfId="15104"/>
    <cellStyle name="20% - Accent4 6 3 2 3" xfId="9316"/>
    <cellStyle name="20% - Accent4 6 3 2 3 2" xfId="17594"/>
    <cellStyle name="20% - Accent4 6 3 2 4" xfId="3604"/>
    <cellStyle name="20% - Accent4 6 3 2 5" xfId="11930"/>
    <cellStyle name="20% - Accent4 6 3 3" xfId="6821"/>
    <cellStyle name="20% - Accent4 6 3 3 2" xfId="15103"/>
    <cellStyle name="20% - Accent4 6 3 4" xfId="9315"/>
    <cellStyle name="20% - Accent4 6 3 4 2" xfId="17593"/>
    <cellStyle name="20% - Accent4 6 3 5" xfId="3603"/>
    <cellStyle name="20% - Accent4 6 3 6" xfId="11929"/>
    <cellStyle name="20% - Accent4 6 4" xfId="742"/>
    <cellStyle name="20% - Accent4 6 4 2" xfId="6823"/>
    <cellStyle name="20% - Accent4 6 4 2 2" xfId="15105"/>
    <cellStyle name="20% - Accent4 6 4 3" xfId="9317"/>
    <cellStyle name="20% - Accent4 6 4 3 2" xfId="17595"/>
    <cellStyle name="20% - Accent4 6 4 4" xfId="3605"/>
    <cellStyle name="20% - Accent4 6 4 5" xfId="11931"/>
    <cellStyle name="20% - Accent4 6 5" xfId="743"/>
    <cellStyle name="20% - Accent4 6 5 2" xfId="6824"/>
    <cellStyle name="20% - Accent4 6 5 2 2" xfId="15106"/>
    <cellStyle name="20% - Accent4 6 5 3" xfId="9318"/>
    <cellStyle name="20% - Accent4 6 5 3 2" xfId="17596"/>
    <cellStyle name="20% - Accent4 6 5 4" xfId="3606"/>
    <cellStyle name="20% - Accent4 6 5 5" xfId="11932"/>
    <cellStyle name="20% - Accent4 6 6" xfId="3607"/>
    <cellStyle name="20% - Accent4 6 6 2" xfId="11933"/>
    <cellStyle name="20% - Accent4 6 7" xfId="5835"/>
    <cellStyle name="20% - Accent4 6 7 2" xfId="14117"/>
    <cellStyle name="20% - Accent4 6 8" xfId="6818"/>
    <cellStyle name="20% - Accent4 6 8 2" xfId="15100"/>
    <cellStyle name="20% - Accent4 6 9" xfId="9312"/>
    <cellStyle name="20% - Accent4 6 9 2" xfId="17590"/>
    <cellStyle name="20% - Accent4 7" xfId="744"/>
    <cellStyle name="20% - Accent4 7 10" xfId="3608"/>
    <cellStyle name="20% - Accent4 7 11" xfId="11934"/>
    <cellStyle name="20% - Accent4 7 2" xfId="745"/>
    <cellStyle name="20% - Accent4 7 2 2" xfId="746"/>
    <cellStyle name="20% - Accent4 7 2 2 2" xfId="6827"/>
    <cellStyle name="20% - Accent4 7 2 2 2 2" xfId="15109"/>
    <cellStyle name="20% - Accent4 7 2 2 3" xfId="9321"/>
    <cellStyle name="20% - Accent4 7 2 2 3 2" xfId="17599"/>
    <cellStyle name="20% - Accent4 7 2 2 4" xfId="3610"/>
    <cellStyle name="20% - Accent4 7 2 2 5" xfId="11936"/>
    <cellStyle name="20% - Accent4 7 2 3" xfId="6826"/>
    <cellStyle name="20% - Accent4 7 2 3 2" xfId="15108"/>
    <cellStyle name="20% - Accent4 7 2 4" xfId="9320"/>
    <cellStyle name="20% - Accent4 7 2 4 2" xfId="17598"/>
    <cellStyle name="20% - Accent4 7 2 5" xfId="3609"/>
    <cellStyle name="20% - Accent4 7 2 6" xfId="11935"/>
    <cellStyle name="20% - Accent4 7 3" xfId="747"/>
    <cellStyle name="20% - Accent4 7 3 2" xfId="748"/>
    <cellStyle name="20% - Accent4 7 3 2 2" xfId="6829"/>
    <cellStyle name="20% - Accent4 7 3 2 2 2" xfId="15111"/>
    <cellStyle name="20% - Accent4 7 3 2 3" xfId="9323"/>
    <cellStyle name="20% - Accent4 7 3 2 3 2" xfId="17601"/>
    <cellStyle name="20% - Accent4 7 3 2 4" xfId="3612"/>
    <cellStyle name="20% - Accent4 7 3 2 5" xfId="11938"/>
    <cellStyle name="20% - Accent4 7 3 3" xfId="6828"/>
    <cellStyle name="20% - Accent4 7 3 3 2" xfId="15110"/>
    <cellStyle name="20% - Accent4 7 3 4" xfId="9322"/>
    <cellStyle name="20% - Accent4 7 3 4 2" xfId="17600"/>
    <cellStyle name="20% - Accent4 7 3 5" xfId="3611"/>
    <cellStyle name="20% - Accent4 7 3 6" xfId="11937"/>
    <cellStyle name="20% - Accent4 7 4" xfId="749"/>
    <cellStyle name="20% - Accent4 7 4 2" xfId="6830"/>
    <cellStyle name="20% - Accent4 7 4 2 2" xfId="15112"/>
    <cellStyle name="20% - Accent4 7 4 3" xfId="9324"/>
    <cellStyle name="20% - Accent4 7 4 3 2" xfId="17602"/>
    <cellStyle name="20% - Accent4 7 4 4" xfId="3613"/>
    <cellStyle name="20% - Accent4 7 4 5" xfId="11939"/>
    <cellStyle name="20% - Accent4 7 5" xfId="750"/>
    <cellStyle name="20% - Accent4 7 5 2" xfId="6831"/>
    <cellStyle name="20% - Accent4 7 5 2 2" xfId="15113"/>
    <cellStyle name="20% - Accent4 7 5 3" xfId="9325"/>
    <cellStyle name="20% - Accent4 7 5 3 2" xfId="17603"/>
    <cellStyle name="20% - Accent4 7 5 4" xfId="3614"/>
    <cellStyle name="20% - Accent4 7 5 5" xfId="11940"/>
    <cellStyle name="20% - Accent4 7 6" xfId="3615"/>
    <cellStyle name="20% - Accent4 7 6 2" xfId="11941"/>
    <cellStyle name="20% - Accent4 7 7" xfId="5921"/>
    <cellStyle name="20% - Accent4 7 7 2" xfId="14203"/>
    <cellStyle name="20% - Accent4 7 8" xfId="6825"/>
    <cellStyle name="20% - Accent4 7 8 2" xfId="15107"/>
    <cellStyle name="20% - Accent4 7 9" xfId="9319"/>
    <cellStyle name="20% - Accent4 7 9 2" xfId="17597"/>
    <cellStyle name="20% - Accent4 8" xfId="751"/>
    <cellStyle name="20% - Accent4 8 10" xfId="3616"/>
    <cellStyle name="20% - Accent4 8 11" xfId="11942"/>
    <cellStyle name="20% - Accent4 8 2" xfId="752"/>
    <cellStyle name="20% - Accent4 8 2 2" xfId="753"/>
    <cellStyle name="20% - Accent4 8 2 2 2" xfId="6834"/>
    <cellStyle name="20% - Accent4 8 2 2 2 2" xfId="15116"/>
    <cellStyle name="20% - Accent4 8 2 2 3" xfId="9328"/>
    <cellStyle name="20% - Accent4 8 2 2 3 2" xfId="17606"/>
    <cellStyle name="20% - Accent4 8 2 2 4" xfId="3618"/>
    <cellStyle name="20% - Accent4 8 2 2 5" xfId="11944"/>
    <cellStyle name="20% - Accent4 8 2 3" xfId="6833"/>
    <cellStyle name="20% - Accent4 8 2 3 2" xfId="15115"/>
    <cellStyle name="20% - Accent4 8 2 4" xfId="9327"/>
    <cellStyle name="20% - Accent4 8 2 4 2" xfId="17605"/>
    <cellStyle name="20% - Accent4 8 2 5" xfId="3617"/>
    <cellStyle name="20% - Accent4 8 2 6" xfId="11943"/>
    <cellStyle name="20% - Accent4 8 3" xfId="754"/>
    <cellStyle name="20% - Accent4 8 3 2" xfId="755"/>
    <cellStyle name="20% - Accent4 8 3 2 2" xfId="6836"/>
    <cellStyle name="20% - Accent4 8 3 2 2 2" xfId="15118"/>
    <cellStyle name="20% - Accent4 8 3 2 3" xfId="9330"/>
    <cellStyle name="20% - Accent4 8 3 2 3 2" xfId="17608"/>
    <cellStyle name="20% - Accent4 8 3 2 4" xfId="3620"/>
    <cellStyle name="20% - Accent4 8 3 2 5" xfId="11946"/>
    <cellStyle name="20% - Accent4 8 3 3" xfId="6835"/>
    <cellStyle name="20% - Accent4 8 3 3 2" xfId="15117"/>
    <cellStyle name="20% - Accent4 8 3 4" xfId="9329"/>
    <cellStyle name="20% - Accent4 8 3 4 2" xfId="17607"/>
    <cellStyle name="20% - Accent4 8 3 5" xfId="3619"/>
    <cellStyle name="20% - Accent4 8 3 6" xfId="11945"/>
    <cellStyle name="20% - Accent4 8 4" xfId="756"/>
    <cellStyle name="20% - Accent4 8 4 2" xfId="6837"/>
    <cellStyle name="20% - Accent4 8 4 2 2" xfId="15119"/>
    <cellStyle name="20% - Accent4 8 4 3" xfId="9331"/>
    <cellStyle name="20% - Accent4 8 4 3 2" xfId="17609"/>
    <cellStyle name="20% - Accent4 8 4 4" xfId="3621"/>
    <cellStyle name="20% - Accent4 8 4 5" xfId="11947"/>
    <cellStyle name="20% - Accent4 8 5" xfId="757"/>
    <cellStyle name="20% - Accent4 8 5 2" xfId="6838"/>
    <cellStyle name="20% - Accent4 8 5 2 2" xfId="15120"/>
    <cellStyle name="20% - Accent4 8 5 3" xfId="9332"/>
    <cellStyle name="20% - Accent4 8 5 3 2" xfId="17610"/>
    <cellStyle name="20% - Accent4 8 5 4" xfId="3622"/>
    <cellStyle name="20% - Accent4 8 5 5" xfId="11948"/>
    <cellStyle name="20% - Accent4 8 6" xfId="3623"/>
    <cellStyle name="20% - Accent4 8 6 2" xfId="11949"/>
    <cellStyle name="20% - Accent4 8 7" xfId="5933"/>
    <cellStyle name="20% - Accent4 8 7 2" xfId="14215"/>
    <cellStyle name="20% - Accent4 8 8" xfId="6832"/>
    <cellStyle name="20% - Accent4 8 8 2" xfId="15114"/>
    <cellStyle name="20% - Accent4 8 9" xfId="9326"/>
    <cellStyle name="20% - Accent4 8 9 2" xfId="17604"/>
    <cellStyle name="20% - Accent4 9" xfId="758"/>
    <cellStyle name="20% - Accent4 9 10" xfId="3624"/>
    <cellStyle name="20% - Accent4 9 11" xfId="11950"/>
    <cellStyle name="20% - Accent4 9 2" xfId="759"/>
    <cellStyle name="20% - Accent4 9 2 2" xfId="760"/>
    <cellStyle name="20% - Accent4 9 2 2 2" xfId="6841"/>
    <cellStyle name="20% - Accent4 9 2 2 2 2" xfId="15123"/>
    <cellStyle name="20% - Accent4 9 2 2 3" xfId="9335"/>
    <cellStyle name="20% - Accent4 9 2 2 3 2" xfId="17613"/>
    <cellStyle name="20% - Accent4 9 2 2 4" xfId="3626"/>
    <cellStyle name="20% - Accent4 9 2 2 5" xfId="11952"/>
    <cellStyle name="20% - Accent4 9 2 3" xfId="6840"/>
    <cellStyle name="20% - Accent4 9 2 3 2" xfId="15122"/>
    <cellStyle name="20% - Accent4 9 2 4" xfId="9334"/>
    <cellStyle name="20% - Accent4 9 2 4 2" xfId="17612"/>
    <cellStyle name="20% - Accent4 9 2 5" xfId="3625"/>
    <cellStyle name="20% - Accent4 9 2 6" xfId="11951"/>
    <cellStyle name="20% - Accent4 9 3" xfId="761"/>
    <cellStyle name="20% - Accent4 9 3 2" xfId="762"/>
    <cellStyle name="20% - Accent4 9 3 2 2" xfId="6843"/>
    <cellStyle name="20% - Accent4 9 3 2 2 2" xfId="15125"/>
    <cellStyle name="20% - Accent4 9 3 2 3" xfId="9337"/>
    <cellStyle name="20% - Accent4 9 3 2 3 2" xfId="17615"/>
    <cellStyle name="20% - Accent4 9 3 2 4" xfId="3628"/>
    <cellStyle name="20% - Accent4 9 3 2 5" xfId="11954"/>
    <cellStyle name="20% - Accent4 9 3 3" xfId="6842"/>
    <cellStyle name="20% - Accent4 9 3 3 2" xfId="15124"/>
    <cellStyle name="20% - Accent4 9 3 4" xfId="9336"/>
    <cellStyle name="20% - Accent4 9 3 4 2" xfId="17614"/>
    <cellStyle name="20% - Accent4 9 3 5" xfId="3627"/>
    <cellStyle name="20% - Accent4 9 3 6" xfId="11953"/>
    <cellStyle name="20% - Accent4 9 4" xfId="763"/>
    <cellStyle name="20% - Accent4 9 4 2" xfId="6844"/>
    <cellStyle name="20% - Accent4 9 4 2 2" xfId="15126"/>
    <cellStyle name="20% - Accent4 9 4 3" xfId="9338"/>
    <cellStyle name="20% - Accent4 9 4 3 2" xfId="17616"/>
    <cellStyle name="20% - Accent4 9 4 4" xfId="3629"/>
    <cellStyle name="20% - Accent4 9 4 5" xfId="11955"/>
    <cellStyle name="20% - Accent4 9 5" xfId="764"/>
    <cellStyle name="20% - Accent4 9 5 2" xfId="6845"/>
    <cellStyle name="20% - Accent4 9 5 2 2" xfId="15127"/>
    <cellStyle name="20% - Accent4 9 5 3" xfId="9339"/>
    <cellStyle name="20% - Accent4 9 5 3 2" xfId="17617"/>
    <cellStyle name="20% - Accent4 9 5 4" xfId="3630"/>
    <cellStyle name="20% - Accent4 9 5 5" xfId="11956"/>
    <cellStyle name="20% - Accent4 9 6" xfId="3631"/>
    <cellStyle name="20% - Accent4 9 6 2" xfId="11957"/>
    <cellStyle name="20% - Accent4 9 7" xfId="6019"/>
    <cellStyle name="20% - Accent4 9 7 2" xfId="14301"/>
    <cellStyle name="20% - Accent4 9 8" xfId="6839"/>
    <cellStyle name="20% - Accent4 9 8 2" xfId="15121"/>
    <cellStyle name="20% - Accent4 9 9" xfId="9333"/>
    <cellStyle name="20% - Accent4 9 9 2" xfId="17611"/>
    <cellStyle name="20% - Accent5" xfId="765" builtinId="46" customBuiltin="1"/>
    <cellStyle name="20% - Accent5 10" xfId="766"/>
    <cellStyle name="20% - Accent5 10 10" xfId="11959"/>
    <cellStyle name="20% - Accent5 10 2" xfId="767"/>
    <cellStyle name="20% - Accent5 10 2 2" xfId="768"/>
    <cellStyle name="20% - Accent5 10 2 2 2" xfId="6849"/>
    <cellStyle name="20% - Accent5 10 2 2 2 2" xfId="15131"/>
    <cellStyle name="20% - Accent5 10 2 2 3" xfId="9343"/>
    <cellStyle name="20% - Accent5 10 2 2 3 2" xfId="17621"/>
    <cellStyle name="20% - Accent5 10 2 2 4" xfId="3635"/>
    <cellStyle name="20% - Accent5 10 2 2 5" xfId="11961"/>
    <cellStyle name="20% - Accent5 10 2 3" xfId="6848"/>
    <cellStyle name="20% - Accent5 10 2 3 2" xfId="15130"/>
    <cellStyle name="20% - Accent5 10 2 4" xfId="9342"/>
    <cellStyle name="20% - Accent5 10 2 4 2" xfId="17620"/>
    <cellStyle name="20% - Accent5 10 2 5" xfId="3634"/>
    <cellStyle name="20% - Accent5 10 2 6" xfId="11960"/>
    <cellStyle name="20% - Accent5 10 3" xfId="769"/>
    <cellStyle name="20% - Accent5 10 3 2" xfId="770"/>
    <cellStyle name="20% - Accent5 10 3 2 2" xfId="6851"/>
    <cellStyle name="20% - Accent5 10 3 2 2 2" xfId="15133"/>
    <cellStyle name="20% - Accent5 10 3 2 3" xfId="9345"/>
    <cellStyle name="20% - Accent5 10 3 2 3 2" xfId="17623"/>
    <cellStyle name="20% - Accent5 10 3 2 4" xfId="3637"/>
    <cellStyle name="20% - Accent5 10 3 2 5" xfId="11963"/>
    <cellStyle name="20% - Accent5 10 3 3" xfId="6850"/>
    <cellStyle name="20% - Accent5 10 3 3 2" xfId="15132"/>
    <cellStyle name="20% - Accent5 10 3 4" xfId="9344"/>
    <cellStyle name="20% - Accent5 10 3 4 2" xfId="17622"/>
    <cellStyle name="20% - Accent5 10 3 5" xfId="3636"/>
    <cellStyle name="20% - Accent5 10 3 6" xfId="11962"/>
    <cellStyle name="20% - Accent5 10 4" xfId="771"/>
    <cellStyle name="20% - Accent5 10 4 2" xfId="6852"/>
    <cellStyle name="20% - Accent5 10 4 2 2" xfId="15134"/>
    <cellStyle name="20% - Accent5 10 4 3" xfId="9346"/>
    <cellStyle name="20% - Accent5 10 4 3 2" xfId="17624"/>
    <cellStyle name="20% - Accent5 10 4 4" xfId="3638"/>
    <cellStyle name="20% - Accent5 10 4 5" xfId="11964"/>
    <cellStyle name="20% - Accent5 10 5" xfId="772"/>
    <cellStyle name="20% - Accent5 10 5 2" xfId="6853"/>
    <cellStyle name="20% - Accent5 10 5 2 2" xfId="15135"/>
    <cellStyle name="20% - Accent5 10 5 3" xfId="9347"/>
    <cellStyle name="20% - Accent5 10 5 3 2" xfId="17625"/>
    <cellStyle name="20% - Accent5 10 5 4" xfId="3639"/>
    <cellStyle name="20% - Accent5 10 5 5" xfId="11965"/>
    <cellStyle name="20% - Accent5 10 6" xfId="6035"/>
    <cellStyle name="20% - Accent5 10 6 2" xfId="14317"/>
    <cellStyle name="20% - Accent5 10 7" xfId="6847"/>
    <cellStyle name="20% - Accent5 10 7 2" xfId="15129"/>
    <cellStyle name="20% - Accent5 10 8" xfId="9341"/>
    <cellStyle name="20% - Accent5 10 8 2" xfId="17619"/>
    <cellStyle name="20% - Accent5 10 9" xfId="3633"/>
    <cellStyle name="20% - Accent5 11" xfId="773"/>
    <cellStyle name="20% - Accent5 11 2" xfId="774"/>
    <cellStyle name="20% - Accent5 11 2 2" xfId="775"/>
    <cellStyle name="20% - Accent5 11 2 2 2" xfId="6856"/>
    <cellStyle name="20% - Accent5 11 2 2 2 2" xfId="15138"/>
    <cellStyle name="20% - Accent5 11 2 2 3" xfId="9350"/>
    <cellStyle name="20% - Accent5 11 2 2 3 2" xfId="17628"/>
    <cellStyle name="20% - Accent5 11 2 2 4" xfId="3642"/>
    <cellStyle name="20% - Accent5 11 2 2 5" xfId="11968"/>
    <cellStyle name="20% - Accent5 11 2 3" xfId="6855"/>
    <cellStyle name="20% - Accent5 11 2 3 2" xfId="15137"/>
    <cellStyle name="20% - Accent5 11 2 4" xfId="9349"/>
    <cellStyle name="20% - Accent5 11 2 4 2" xfId="17627"/>
    <cellStyle name="20% - Accent5 11 2 5" xfId="3641"/>
    <cellStyle name="20% - Accent5 11 2 6" xfId="11967"/>
    <cellStyle name="20% - Accent5 11 3" xfId="776"/>
    <cellStyle name="20% - Accent5 11 3 2" xfId="6857"/>
    <cellStyle name="20% - Accent5 11 3 2 2" xfId="15139"/>
    <cellStyle name="20% - Accent5 11 3 3" xfId="9351"/>
    <cellStyle name="20% - Accent5 11 3 3 2" xfId="17629"/>
    <cellStyle name="20% - Accent5 11 3 4" xfId="3643"/>
    <cellStyle name="20% - Accent5 11 3 5" xfId="11969"/>
    <cellStyle name="20% - Accent5 11 4" xfId="777"/>
    <cellStyle name="20% - Accent5 11 4 2" xfId="6858"/>
    <cellStyle name="20% - Accent5 11 4 2 2" xfId="15140"/>
    <cellStyle name="20% - Accent5 11 4 3" xfId="9352"/>
    <cellStyle name="20% - Accent5 11 4 3 2" xfId="17630"/>
    <cellStyle name="20% - Accent5 11 4 4" xfId="3644"/>
    <cellStyle name="20% - Accent5 11 4 5" xfId="11970"/>
    <cellStyle name="20% - Accent5 11 5" xfId="5715"/>
    <cellStyle name="20% - Accent5 11 5 2" xfId="14001"/>
    <cellStyle name="20% - Accent5 11 6" xfId="6854"/>
    <cellStyle name="20% - Accent5 11 6 2" xfId="15136"/>
    <cellStyle name="20% - Accent5 11 7" xfId="9348"/>
    <cellStyle name="20% - Accent5 11 7 2" xfId="17626"/>
    <cellStyle name="20% - Accent5 11 8" xfId="3640"/>
    <cellStyle name="20% - Accent5 11 9" xfId="11966"/>
    <cellStyle name="20% - Accent5 12" xfId="778"/>
    <cellStyle name="20% - Accent5 12 2" xfId="779"/>
    <cellStyle name="20% - Accent5 12 2 2" xfId="6860"/>
    <cellStyle name="20% - Accent5 12 2 2 2" xfId="15142"/>
    <cellStyle name="20% - Accent5 12 2 3" xfId="9354"/>
    <cellStyle name="20% - Accent5 12 2 3 2" xfId="17632"/>
    <cellStyle name="20% - Accent5 12 2 4" xfId="3646"/>
    <cellStyle name="20% - Accent5 12 2 5" xfId="11972"/>
    <cellStyle name="20% - Accent5 12 3" xfId="6050"/>
    <cellStyle name="20% - Accent5 12 3 2" xfId="14332"/>
    <cellStyle name="20% - Accent5 12 4" xfId="6859"/>
    <cellStyle name="20% - Accent5 12 4 2" xfId="15141"/>
    <cellStyle name="20% - Accent5 12 5" xfId="9353"/>
    <cellStyle name="20% - Accent5 12 5 2" xfId="17631"/>
    <cellStyle name="20% - Accent5 12 6" xfId="3645"/>
    <cellStyle name="20% - Accent5 12 7" xfId="11971"/>
    <cellStyle name="20% - Accent5 13" xfId="780"/>
    <cellStyle name="20% - Accent5 13 2" xfId="781"/>
    <cellStyle name="20% - Accent5 13 2 2" xfId="6862"/>
    <cellStyle name="20% - Accent5 13 2 2 2" xfId="15144"/>
    <cellStyle name="20% - Accent5 13 2 3" xfId="9356"/>
    <cellStyle name="20% - Accent5 13 2 3 2" xfId="17634"/>
    <cellStyle name="20% - Accent5 13 2 4" xfId="3648"/>
    <cellStyle name="20% - Accent5 13 2 5" xfId="11974"/>
    <cellStyle name="20% - Accent5 13 3" xfId="6064"/>
    <cellStyle name="20% - Accent5 13 3 2" xfId="14346"/>
    <cellStyle name="20% - Accent5 13 4" xfId="6861"/>
    <cellStyle name="20% - Accent5 13 4 2" xfId="15143"/>
    <cellStyle name="20% - Accent5 13 5" xfId="9355"/>
    <cellStyle name="20% - Accent5 13 5 2" xfId="17633"/>
    <cellStyle name="20% - Accent5 13 6" xfId="3647"/>
    <cellStyle name="20% - Accent5 13 7" xfId="11973"/>
    <cellStyle name="20% - Accent5 14" xfId="782"/>
    <cellStyle name="20% - Accent5 14 2" xfId="6078"/>
    <cellStyle name="20% - Accent5 14 2 2" xfId="14360"/>
    <cellStyle name="20% - Accent5 14 3" xfId="6863"/>
    <cellStyle name="20% - Accent5 14 3 2" xfId="15145"/>
    <cellStyle name="20% - Accent5 14 4" xfId="9357"/>
    <cellStyle name="20% - Accent5 14 4 2" xfId="17635"/>
    <cellStyle name="20% - Accent5 14 5" xfId="3649"/>
    <cellStyle name="20% - Accent5 14 6" xfId="11975"/>
    <cellStyle name="20% - Accent5 15" xfId="783"/>
    <cellStyle name="20% - Accent5 15 2" xfId="6864"/>
    <cellStyle name="20% - Accent5 15 2 2" xfId="15146"/>
    <cellStyle name="20% - Accent5 15 3" xfId="9358"/>
    <cellStyle name="20% - Accent5 15 3 2" xfId="17636"/>
    <cellStyle name="20% - Accent5 15 4" xfId="3650"/>
    <cellStyle name="20% - Accent5 15 5" xfId="11976"/>
    <cellStyle name="20% - Accent5 16" xfId="5631"/>
    <cellStyle name="20% - Accent5 16 2" xfId="13921"/>
    <cellStyle name="20% - Accent5 17" xfId="6846"/>
    <cellStyle name="20% - Accent5 17 2" xfId="15128"/>
    <cellStyle name="20% - Accent5 18" xfId="9340"/>
    <cellStyle name="20% - Accent5 18 2" xfId="17618"/>
    <cellStyle name="20% - Accent5 19" xfId="3632"/>
    <cellStyle name="20% - Accent5 2" xfId="784"/>
    <cellStyle name="20% - Accent5 2 10" xfId="785"/>
    <cellStyle name="20% - Accent5 2 10 2" xfId="6866"/>
    <cellStyle name="20% - Accent5 2 10 2 2" xfId="15148"/>
    <cellStyle name="20% - Accent5 2 10 3" xfId="9360"/>
    <cellStyle name="20% - Accent5 2 10 3 2" xfId="17638"/>
    <cellStyle name="20% - Accent5 2 10 4" xfId="3652"/>
    <cellStyle name="20% - Accent5 2 10 5" xfId="11978"/>
    <cellStyle name="20% - Accent5 2 11" xfId="786"/>
    <cellStyle name="20% - Accent5 2 11 2" xfId="6867"/>
    <cellStyle name="20% - Accent5 2 11 2 2" xfId="15149"/>
    <cellStyle name="20% - Accent5 2 11 3" xfId="9361"/>
    <cellStyle name="20% - Accent5 2 11 3 2" xfId="17639"/>
    <cellStyle name="20% - Accent5 2 11 4" xfId="3653"/>
    <cellStyle name="20% - Accent5 2 11 5" xfId="11979"/>
    <cellStyle name="20% - Accent5 2 12" xfId="5642"/>
    <cellStyle name="20% - Accent5 2 12 2" xfId="13931"/>
    <cellStyle name="20% - Accent5 2 13" xfId="6865"/>
    <cellStyle name="20% - Accent5 2 13 2" xfId="15147"/>
    <cellStyle name="20% - Accent5 2 14" xfId="9359"/>
    <cellStyle name="20% - Accent5 2 14 2" xfId="17637"/>
    <cellStyle name="20% - Accent5 2 15" xfId="3651"/>
    <cellStyle name="20% - Accent5 2 16" xfId="11977"/>
    <cellStyle name="20% - Accent5 2 2" xfId="787"/>
    <cellStyle name="20% - Accent5 2 2 10" xfId="6868"/>
    <cellStyle name="20% - Accent5 2 2 10 2" xfId="15150"/>
    <cellStyle name="20% - Accent5 2 2 11" xfId="9362"/>
    <cellStyle name="20% - Accent5 2 2 11 2" xfId="17640"/>
    <cellStyle name="20% - Accent5 2 2 12" xfId="3654"/>
    <cellStyle name="20% - Accent5 2 2 13" xfId="11980"/>
    <cellStyle name="20% - Accent5 2 2 2" xfId="788"/>
    <cellStyle name="20% - Accent5 2 2 2 10" xfId="11981"/>
    <cellStyle name="20% - Accent5 2 2 2 2" xfId="789"/>
    <cellStyle name="20% - Accent5 2 2 2 2 2" xfId="790"/>
    <cellStyle name="20% - Accent5 2 2 2 2 2 2" xfId="6871"/>
    <cellStyle name="20% - Accent5 2 2 2 2 2 2 2" xfId="15153"/>
    <cellStyle name="20% - Accent5 2 2 2 2 2 3" xfId="9365"/>
    <cellStyle name="20% - Accent5 2 2 2 2 2 3 2" xfId="17643"/>
    <cellStyle name="20% - Accent5 2 2 2 2 2 4" xfId="3657"/>
    <cellStyle name="20% - Accent5 2 2 2 2 2 5" xfId="11983"/>
    <cellStyle name="20% - Accent5 2 2 2 2 3" xfId="6870"/>
    <cellStyle name="20% - Accent5 2 2 2 2 3 2" xfId="15152"/>
    <cellStyle name="20% - Accent5 2 2 2 2 4" xfId="9364"/>
    <cellStyle name="20% - Accent5 2 2 2 2 4 2" xfId="17642"/>
    <cellStyle name="20% - Accent5 2 2 2 2 5" xfId="3656"/>
    <cellStyle name="20% - Accent5 2 2 2 2 6" xfId="11982"/>
    <cellStyle name="20% - Accent5 2 2 2 3" xfId="791"/>
    <cellStyle name="20% - Accent5 2 2 2 3 2" xfId="792"/>
    <cellStyle name="20% - Accent5 2 2 2 3 2 2" xfId="6873"/>
    <cellStyle name="20% - Accent5 2 2 2 3 2 2 2" xfId="15155"/>
    <cellStyle name="20% - Accent5 2 2 2 3 2 3" xfId="9367"/>
    <cellStyle name="20% - Accent5 2 2 2 3 2 3 2" xfId="17645"/>
    <cellStyle name="20% - Accent5 2 2 2 3 2 4" xfId="3659"/>
    <cellStyle name="20% - Accent5 2 2 2 3 2 5" xfId="11985"/>
    <cellStyle name="20% - Accent5 2 2 2 3 3" xfId="6872"/>
    <cellStyle name="20% - Accent5 2 2 2 3 3 2" xfId="15154"/>
    <cellStyle name="20% - Accent5 2 2 2 3 4" xfId="9366"/>
    <cellStyle name="20% - Accent5 2 2 2 3 4 2" xfId="17644"/>
    <cellStyle name="20% - Accent5 2 2 2 3 5" xfId="3658"/>
    <cellStyle name="20% - Accent5 2 2 2 3 6" xfId="11984"/>
    <cellStyle name="20% - Accent5 2 2 2 4" xfId="793"/>
    <cellStyle name="20% - Accent5 2 2 2 4 2" xfId="6874"/>
    <cellStyle name="20% - Accent5 2 2 2 4 2 2" xfId="15156"/>
    <cellStyle name="20% - Accent5 2 2 2 4 3" xfId="9368"/>
    <cellStyle name="20% - Accent5 2 2 2 4 3 2" xfId="17646"/>
    <cellStyle name="20% - Accent5 2 2 2 4 4" xfId="3660"/>
    <cellStyle name="20% - Accent5 2 2 2 4 5" xfId="11986"/>
    <cellStyle name="20% - Accent5 2 2 2 5" xfId="794"/>
    <cellStyle name="20% - Accent5 2 2 2 5 2" xfId="6875"/>
    <cellStyle name="20% - Accent5 2 2 2 5 2 2" xfId="15157"/>
    <cellStyle name="20% - Accent5 2 2 2 5 3" xfId="9369"/>
    <cellStyle name="20% - Accent5 2 2 2 5 3 2" xfId="17647"/>
    <cellStyle name="20% - Accent5 2 2 2 5 4" xfId="3661"/>
    <cellStyle name="20% - Accent5 2 2 2 5 5" xfId="11987"/>
    <cellStyle name="20% - Accent5 2 2 2 6" xfId="5881"/>
    <cellStyle name="20% - Accent5 2 2 2 6 2" xfId="14163"/>
    <cellStyle name="20% - Accent5 2 2 2 7" xfId="6869"/>
    <cellStyle name="20% - Accent5 2 2 2 7 2" xfId="15151"/>
    <cellStyle name="20% - Accent5 2 2 2 8" xfId="9363"/>
    <cellStyle name="20% - Accent5 2 2 2 8 2" xfId="17641"/>
    <cellStyle name="20% - Accent5 2 2 2 9" xfId="3655"/>
    <cellStyle name="20% - Accent5 2 2 3" xfId="795"/>
    <cellStyle name="20% - Accent5 2 2 3 10" xfId="11988"/>
    <cellStyle name="20% - Accent5 2 2 3 2" xfId="796"/>
    <cellStyle name="20% - Accent5 2 2 3 2 2" xfId="797"/>
    <cellStyle name="20% - Accent5 2 2 3 2 2 2" xfId="6878"/>
    <cellStyle name="20% - Accent5 2 2 3 2 2 2 2" xfId="15160"/>
    <cellStyle name="20% - Accent5 2 2 3 2 2 3" xfId="9372"/>
    <cellStyle name="20% - Accent5 2 2 3 2 2 3 2" xfId="17650"/>
    <cellStyle name="20% - Accent5 2 2 3 2 2 4" xfId="3664"/>
    <cellStyle name="20% - Accent5 2 2 3 2 2 5" xfId="11990"/>
    <cellStyle name="20% - Accent5 2 2 3 2 3" xfId="6877"/>
    <cellStyle name="20% - Accent5 2 2 3 2 3 2" xfId="15159"/>
    <cellStyle name="20% - Accent5 2 2 3 2 4" xfId="9371"/>
    <cellStyle name="20% - Accent5 2 2 3 2 4 2" xfId="17649"/>
    <cellStyle name="20% - Accent5 2 2 3 2 5" xfId="3663"/>
    <cellStyle name="20% - Accent5 2 2 3 2 6" xfId="11989"/>
    <cellStyle name="20% - Accent5 2 2 3 3" xfId="798"/>
    <cellStyle name="20% - Accent5 2 2 3 3 2" xfId="799"/>
    <cellStyle name="20% - Accent5 2 2 3 3 2 2" xfId="6880"/>
    <cellStyle name="20% - Accent5 2 2 3 3 2 2 2" xfId="15162"/>
    <cellStyle name="20% - Accent5 2 2 3 3 2 3" xfId="9374"/>
    <cellStyle name="20% - Accent5 2 2 3 3 2 3 2" xfId="17652"/>
    <cellStyle name="20% - Accent5 2 2 3 3 2 4" xfId="3666"/>
    <cellStyle name="20% - Accent5 2 2 3 3 2 5" xfId="11992"/>
    <cellStyle name="20% - Accent5 2 2 3 3 3" xfId="6879"/>
    <cellStyle name="20% - Accent5 2 2 3 3 3 2" xfId="15161"/>
    <cellStyle name="20% - Accent5 2 2 3 3 4" xfId="9373"/>
    <cellStyle name="20% - Accent5 2 2 3 3 4 2" xfId="17651"/>
    <cellStyle name="20% - Accent5 2 2 3 3 5" xfId="3665"/>
    <cellStyle name="20% - Accent5 2 2 3 3 6" xfId="11991"/>
    <cellStyle name="20% - Accent5 2 2 3 4" xfId="800"/>
    <cellStyle name="20% - Accent5 2 2 3 4 2" xfId="6881"/>
    <cellStyle name="20% - Accent5 2 2 3 4 2 2" xfId="15163"/>
    <cellStyle name="20% - Accent5 2 2 3 4 3" xfId="9375"/>
    <cellStyle name="20% - Accent5 2 2 3 4 3 2" xfId="17653"/>
    <cellStyle name="20% - Accent5 2 2 3 4 4" xfId="3667"/>
    <cellStyle name="20% - Accent5 2 2 3 4 5" xfId="11993"/>
    <cellStyle name="20% - Accent5 2 2 3 5" xfId="801"/>
    <cellStyle name="20% - Accent5 2 2 3 5 2" xfId="6882"/>
    <cellStyle name="20% - Accent5 2 2 3 5 2 2" xfId="15164"/>
    <cellStyle name="20% - Accent5 2 2 3 5 3" xfId="9376"/>
    <cellStyle name="20% - Accent5 2 2 3 5 3 2" xfId="17654"/>
    <cellStyle name="20% - Accent5 2 2 3 5 4" xfId="3668"/>
    <cellStyle name="20% - Accent5 2 2 3 5 5" xfId="11994"/>
    <cellStyle name="20% - Accent5 2 2 3 6" xfId="5979"/>
    <cellStyle name="20% - Accent5 2 2 3 6 2" xfId="14261"/>
    <cellStyle name="20% - Accent5 2 2 3 7" xfId="6876"/>
    <cellStyle name="20% - Accent5 2 2 3 7 2" xfId="15158"/>
    <cellStyle name="20% - Accent5 2 2 3 8" xfId="9370"/>
    <cellStyle name="20% - Accent5 2 2 3 8 2" xfId="17648"/>
    <cellStyle name="20% - Accent5 2 2 3 9" xfId="3662"/>
    <cellStyle name="20% - Accent5 2 2 4" xfId="802"/>
    <cellStyle name="20% - Accent5 2 2 4 2" xfId="803"/>
    <cellStyle name="20% - Accent5 2 2 4 2 2" xfId="804"/>
    <cellStyle name="20% - Accent5 2 2 4 2 2 2" xfId="6885"/>
    <cellStyle name="20% - Accent5 2 2 4 2 2 2 2" xfId="15167"/>
    <cellStyle name="20% - Accent5 2 2 4 2 2 3" xfId="9379"/>
    <cellStyle name="20% - Accent5 2 2 4 2 2 3 2" xfId="17657"/>
    <cellStyle name="20% - Accent5 2 2 4 2 2 4" xfId="3671"/>
    <cellStyle name="20% - Accent5 2 2 4 2 2 5" xfId="11997"/>
    <cellStyle name="20% - Accent5 2 2 4 2 3" xfId="6884"/>
    <cellStyle name="20% - Accent5 2 2 4 2 3 2" xfId="15166"/>
    <cellStyle name="20% - Accent5 2 2 4 2 4" xfId="9378"/>
    <cellStyle name="20% - Accent5 2 2 4 2 4 2" xfId="17656"/>
    <cellStyle name="20% - Accent5 2 2 4 2 5" xfId="3670"/>
    <cellStyle name="20% - Accent5 2 2 4 2 6" xfId="11996"/>
    <cellStyle name="20% - Accent5 2 2 4 3" xfId="805"/>
    <cellStyle name="20% - Accent5 2 2 4 3 2" xfId="6886"/>
    <cellStyle name="20% - Accent5 2 2 4 3 2 2" xfId="15168"/>
    <cellStyle name="20% - Accent5 2 2 4 3 3" xfId="9380"/>
    <cellStyle name="20% - Accent5 2 2 4 3 3 2" xfId="17658"/>
    <cellStyle name="20% - Accent5 2 2 4 3 4" xfId="3672"/>
    <cellStyle name="20% - Accent5 2 2 4 3 5" xfId="11998"/>
    <cellStyle name="20% - Accent5 2 2 4 4" xfId="806"/>
    <cellStyle name="20% - Accent5 2 2 4 4 2" xfId="6887"/>
    <cellStyle name="20% - Accent5 2 2 4 4 2 2" xfId="15169"/>
    <cellStyle name="20% - Accent5 2 2 4 4 3" xfId="9381"/>
    <cellStyle name="20% - Accent5 2 2 4 4 3 2" xfId="17659"/>
    <cellStyle name="20% - Accent5 2 2 4 4 4" xfId="3673"/>
    <cellStyle name="20% - Accent5 2 2 4 4 5" xfId="11999"/>
    <cellStyle name="20% - Accent5 2 2 4 5" xfId="5795"/>
    <cellStyle name="20% - Accent5 2 2 4 5 2" xfId="14077"/>
    <cellStyle name="20% - Accent5 2 2 4 6" xfId="6883"/>
    <cellStyle name="20% - Accent5 2 2 4 6 2" xfId="15165"/>
    <cellStyle name="20% - Accent5 2 2 4 7" xfId="9377"/>
    <cellStyle name="20% - Accent5 2 2 4 7 2" xfId="17655"/>
    <cellStyle name="20% - Accent5 2 2 4 8" xfId="3669"/>
    <cellStyle name="20% - Accent5 2 2 4 9" xfId="11995"/>
    <cellStyle name="20% - Accent5 2 2 5" xfId="807"/>
    <cellStyle name="20% - Accent5 2 2 5 2" xfId="808"/>
    <cellStyle name="20% - Accent5 2 2 5 2 2" xfId="6889"/>
    <cellStyle name="20% - Accent5 2 2 5 2 2 2" xfId="15171"/>
    <cellStyle name="20% - Accent5 2 2 5 2 3" xfId="9383"/>
    <cellStyle name="20% - Accent5 2 2 5 2 3 2" xfId="17661"/>
    <cellStyle name="20% - Accent5 2 2 5 2 4" xfId="3675"/>
    <cellStyle name="20% - Accent5 2 2 5 2 5" xfId="12001"/>
    <cellStyle name="20% - Accent5 2 2 5 3" xfId="6888"/>
    <cellStyle name="20% - Accent5 2 2 5 3 2" xfId="15170"/>
    <cellStyle name="20% - Accent5 2 2 5 4" xfId="9382"/>
    <cellStyle name="20% - Accent5 2 2 5 4 2" xfId="17660"/>
    <cellStyle name="20% - Accent5 2 2 5 5" xfId="3674"/>
    <cellStyle name="20% - Accent5 2 2 5 6" xfId="12000"/>
    <cellStyle name="20% - Accent5 2 2 6" xfId="809"/>
    <cellStyle name="20% - Accent5 2 2 6 2" xfId="810"/>
    <cellStyle name="20% - Accent5 2 2 6 2 2" xfId="6891"/>
    <cellStyle name="20% - Accent5 2 2 6 2 2 2" xfId="15173"/>
    <cellStyle name="20% - Accent5 2 2 6 2 3" xfId="9385"/>
    <cellStyle name="20% - Accent5 2 2 6 2 3 2" xfId="17663"/>
    <cellStyle name="20% - Accent5 2 2 6 2 4" xfId="3677"/>
    <cellStyle name="20% - Accent5 2 2 6 2 5" xfId="12003"/>
    <cellStyle name="20% - Accent5 2 2 6 3" xfId="6890"/>
    <cellStyle name="20% - Accent5 2 2 6 3 2" xfId="15172"/>
    <cellStyle name="20% - Accent5 2 2 6 4" xfId="9384"/>
    <cellStyle name="20% - Accent5 2 2 6 4 2" xfId="17662"/>
    <cellStyle name="20% - Accent5 2 2 6 5" xfId="3676"/>
    <cellStyle name="20% - Accent5 2 2 6 6" xfId="12002"/>
    <cellStyle name="20% - Accent5 2 2 7" xfId="811"/>
    <cellStyle name="20% - Accent5 2 2 7 2" xfId="6892"/>
    <cellStyle name="20% - Accent5 2 2 7 2 2" xfId="15174"/>
    <cellStyle name="20% - Accent5 2 2 7 3" xfId="9386"/>
    <cellStyle name="20% - Accent5 2 2 7 3 2" xfId="17664"/>
    <cellStyle name="20% - Accent5 2 2 7 4" xfId="3678"/>
    <cellStyle name="20% - Accent5 2 2 7 5" xfId="12004"/>
    <cellStyle name="20% - Accent5 2 2 8" xfId="812"/>
    <cellStyle name="20% - Accent5 2 2 8 2" xfId="6893"/>
    <cellStyle name="20% - Accent5 2 2 8 2 2" xfId="15175"/>
    <cellStyle name="20% - Accent5 2 2 8 3" xfId="9387"/>
    <cellStyle name="20% - Accent5 2 2 8 3 2" xfId="17665"/>
    <cellStyle name="20% - Accent5 2 2 8 4" xfId="3679"/>
    <cellStyle name="20% - Accent5 2 2 8 5" xfId="12005"/>
    <cellStyle name="20% - Accent5 2 2 9" xfId="5679"/>
    <cellStyle name="20% - Accent5 2 2 9 2" xfId="13965"/>
    <cellStyle name="20% - Accent5 2 3" xfId="813"/>
    <cellStyle name="20% - Accent5 2 3 10" xfId="6894"/>
    <cellStyle name="20% - Accent5 2 3 10 2" xfId="15176"/>
    <cellStyle name="20% - Accent5 2 3 11" xfId="9388"/>
    <cellStyle name="20% - Accent5 2 3 11 2" xfId="17666"/>
    <cellStyle name="20% - Accent5 2 3 12" xfId="3680"/>
    <cellStyle name="20% - Accent5 2 3 13" xfId="12006"/>
    <cellStyle name="20% - Accent5 2 3 2" xfId="814"/>
    <cellStyle name="20% - Accent5 2 3 2 10" xfId="12007"/>
    <cellStyle name="20% - Accent5 2 3 2 2" xfId="815"/>
    <cellStyle name="20% - Accent5 2 3 2 2 2" xfId="816"/>
    <cellStyle name="20% - Accent5 2 3 2 2 2 2" xfId="6897"/>
    <cellStyle name="20% - Accent5 2 3 2 2 2 2 2" xfId="15179"/>
    <cellStyle name="20% - Accent5 2 3 2 2 2 3" xfId="9391"/>
    <cellStyle name="20% - Accent5 2 3 2 2 2 3 2" xfId="17669"/>
    <cellStyle name="20% - Accent5 2 3 2 2 2 4" xfId="3683"/>
    <cellStyle name="20% - Accent5 2 3 2 2 2 5" xfId="12009"/>
    <cellStyle name="20% - Accent5 2 3 2 2 3" xfId="6896"/>
    <cellStyle name="20% - Accent5 2 3 2 2 3 2" xfId="15178"/>
    <cellStyle name="20% - Accent5 2 3 2 2 4" xfId="9390"/>
    <cellStyle name="20% - Accent5 2 3 2 2 4 2" xfId="17668"/>
    <cellStyle name="20% - Accent5 2 3 2 2 5" xfId="3682"/>
    <cellStyle name="20% - Accent5 2 3 2 2 6" xfId="12008"/>
    <cellStyle name="20% - Accent5 2 3 2 3" xfId="817"/>
    <cellStyle name="20% - Accent5 2 3 2 3 2" xfId="818"/>
    <cellStyle name="20% - Accent5 2 3 2 3 2 2" xfId="6899"/>
    <cellStyle name="20% - Accent5 2 3 2 3 2 2 2" xfId="15181"/>
    <cellStyle name="20% - Accent5 2 3 2 3 2 3" xfId="9393"/>
    <cellStyle name="20% - Accent5 2 3 2 3 2 3 2" xfId="17671"/>
    <cellStyle name="20% - Accent5 2 3 2 3 2 4" xfId="3685"/>
    <cellStyle name="20% - Accent5 2 3 2 3 2 5" xfId="12011"/>
    <cellStyle name="20% - Accent5 2 3 2 3 3" xfId="6898"/>
    <cellStyle name="20% - Accent5 2 3 2 3 3 2" xfId="15180"/>
    <cellStyle name="20% - Accent5 2 3 2 3 4" xfId="9392"/>
    <cellStyle name="20% - Accent5 2 3 2 3 4 2" xfId="17670"/>
    <cellStyle name="20% - Accent5 2 3 2 3 5" xfId="3684"/>
    <cellStyle name="20% - Accent5 2 3 2 3 6" xfId="12010"/>
    <cellStyle name="20% - Accent5 2 3 2 4" xfId="819"/>
    <cellStyle name="20% - Accent5 2 3 2 4 2" xfId="6900"/>
    <cellStyle name="20% - Accent5 2 3 2 4 2 2" xfId="15182"/>
    <cellStyle name="20% - Accent5 2 3 2 4 3" xfId="9394"/>
    <cellStyle name="20% - Accent5 2 3 2 4 3 2" xfId="17672"/>
    <cellStyle name="20% - Accent5 2 3 2 4 4" xfId="3686"/>
    <cellStyle name="20% - Accent5 2 3 2 4 5" xfId="12012"/>
    <cellStyle name="20% - Accent5 2 3 2 5" xfId="820"/>
    <cellStyle name="20% - Accent5 2 3 2 5 2" xfId="6901"/>
    <cellStyle name="20% - Accent5 2 3 2 5 2 2" xfId="15183"/>
    <cellStyle name="20% - Accent5 2 3 2 5 3" xfId="9395"/>
    <cellStyle name="20% - Accent5 2 3 2 5 3 2" xfId="17673"/>
    <cellStyle name="20% - Accent5 2 3 2 5 4" xfId="3687"/>
    <cellStyle name="20% - Accent5 2 3 2 5 5" xfId="12013"/>
    <cellStyle name="20% - Accent5 2 3 2 6" xfId="5909"/>
    <cellStyle name="20% - Accent5 2 3 2 6 2" xfId="14191"/>
    <cellStyle name="20% - Accent5 2 3 2 7" xfId="6895"/>
    <cellStyle name="20% - Accent5 2 3 2 7 2" xfId="15177"/>
    <cellStyle name="20% - Accent5 2 3 2 8" xfId="9389"/>
    <cellStyle name="20% - Accent5 2 3 2 8 2" xfId="17667"/>
    <cellStyle name="20% - Accent5 2 3 2 9" xfId="3681"/>
    <cellStyle name="20% - Accent5 2 3 3" xfId="821"/>
    <cellStyle name="20% - Accent5 2 3 3 10" xfId="12014"/>
    <cellStyle name="20% - Accent5 2 3 3 2" xfId="822"/>
    <cellStyle name="20% - Accent5 2 3 3 2 2" xfId="823"/>
    <cellStyle name="20% - Accent5 2 3 3 2 2 2" xfId="6904"/>
    <cellStyle name="20% - Accent5 2 3 3 2 2 2 2" xfId="15186"/>
    <cellStyle name="20% - Accent5 2 3 3 2 2 3" xfId="9398"/>
    <cellStyle name="20% - Accent5 2 3 3 2 2 3 2" xfId="17676"/>
    <cellStyle name="20% - Accent5 2 3 3 2 2 4" xfId="3690"/>
    <cellStyle name="20% - Accent5 2 3 3 2 2 5" xfId="12016"/>
    <cellStyle name="20% - Accent5 2 3 3 2 3" xfId="6903"/>
    <cellStyle name="20% - Accent5 2 3 3 2 3 2" xfId="15185"/>
    <cellStyle name="20% - Accent5 2 3 3 2 4" xfId="9397"/>
    <cellStyle name="20% - Accent5 2 3 3 2 4 2" xfId="17675"/>
    <cellStyle name="20% - Accent5 2 3 3 2 5" xfId="3689"/>
    <cellStyle name="20% - Accent5 2 3 3 2 6" xfId="12015"/>
    <cellStyle name="20% - Accent5 2 3 3 3" xfId="824"/>
    <cellStyle name="20% - Accent5 2 3 3 3 2" xfId="825"/>
    <cellStyle name="20% - Accent5 2 3 3 3 2 2" xfId="6906"/>
    <cellStyle name="20% - Accent5 2 3 3 3 2 2 2" xfId="15188"/>
    <cellStyle name="20% - Accent5 2 3 3 3 2 3" xfId="9400"/>
    <cellStyle name="20% - Accent5 2 3 3 3 2 3 2" xfId="17678"/>
    <cellStyle name="20% - Accent5 2 3 3 3 2 4" xfId="3692"/>
    <cellStyle name="20% - Accent5 2 3 3 3 2 5" xfId="12018"/>
    <cellStyle name="20% - Accent5 2 3 3 3 3" xfId="6905"/>
    <cellStyle name="20% - Accent5 2 3 3 3 3 2" xfId="15187"/>
    <cellStyle name="20% - Accent5 2 3 3 3 4" xfId="9399"/>
    <cellStyle name="20% - Accent5 2 3 3 3 4 2" xfId="17677"/>
    <cellStyle name="20% - Accent5 2 3 3 3 5" xfId="3691"/>
    <cellStyle name="20% - Accent5 2 3 3 3 6" xfId="12017"/>
    <cellStyle name="20% - Accent5 2 3 3 4" xfId="826"/>
    <cellStyle name="20% - Accent5 2 3 3 4 2" xfId="6907"/>
    <cellStyle name="20% - Accent5 2 3 3 4 2 2" xfId="15189"/>
    <cellStyle name="20% - Accent5 2 3 3 4 3" xfId="9401"/>
    <cellStyle name="20% - Accent5 2 3 3 4 3 2" xfId="17679"/>
    <cellStyle name="20% - Accent5 2 3 3 4 4" xfId="3693"/>
    <cellStyle name="20% - Accent5 2 3 3 4 5" xfId="12019"/>
    <cellStyle name="20% - Accent5 2 3 3 5" xfId="827"/>
    <cellStyle name="20% - Accent5 2 3 3 5 2" xfId="6908"/>
    <cellStyle name="20% - Accent5 2 3 3 5 2 2" xfId="15190"/>
    <cellStyle name="20% - Accent5 2 3 3 5 3" xfId="9402"/>
    <cellStyle name="20% - Accent5 2 3 3 5 3 2" xfId="17680"/>
    <cellStyle name="20% - Accent5 2 3 3 5 4" xfId="3694"/>
    <cellStyle name="20% - Accent5 2 3 3 5 5" xfId="12020"/>
    <cellStyle name="20% - Accent5 2 3 3 6" xfId="6007"/>
    <cellStyle name="20% - Accent5 2 3 3 6 2" xfId="14289"/>
    <cellStyle name="20% - Accent5 2 3 3 7" xfId="6902"/>
    <cellStyle name="20% - Accent5 2 3 3 7 2" xfId="15184"/>
    <cellStyle name="20% - Accent5 2 3 3 8" xfId="9396"/>
    <cellStyle name="20% - Accent5 2 3 3 8 2" xfId="17674"/>
    <cellStyle name="20% - Accent5 2 3 3 9" xfId="3688"/>
    <cellStyle name="20% - Accent5 2 3 4" xfId="828"/>
    <cellStyle name="20% - Accent5 2 3 4 2" xfId="829"/>
    <cellStyle name="20% - Accent5 2 3 4 2 2" xfId="830"/>
    <cellStyle name="20% - Accent5 2 3 4 2 2 2" xfId="6911"/>
    <cellStyle name="20% - Accent5 2 3 4 2 2 2 2" xfId="15193"/>
    <cellStyle name="20% - Accent5 2 3 4 2 2 3" xfId="9405"/>
    <cellStyle name="20% - Accent5 2 3 4 2 2 3 2" xfId="17683"/>
    <cellStyle name="20% - Accent5 2 3 4 2 2 4" xfId="3697"/>
    <cellStyle name="20% - Accent5 2 3 4 2 2 5" xfId="12023"/>
    <cellStyle name="20% - Accent5 2 3 4 2 3" xfId="6910"/>
    <cellStyle name="20% - Accent5 2 3 4 2 3 2" xfId="15192"/>
    <cellStyle name="20% - Accent5 2 3 4 2 4" xfId="9404"/>
    <cellStyle name="20% - Accent5 2 3 4 2 4 2" xfId="17682"/>
    <cellStyle name="20% - Accent5 2 3 4 2 5" xfId="3696"/>
    <cellStyle name="20% - Accent5 2 3 4 2 6" xfId="12022"/>
    <cellStyle name="20% - Accent5 2 3 4 3" xfId="831"/>
    <cellStyle name="20% - Accent5 2 3 4 3 2" xfId="6912"/>
    <cellStyle name="20% - Accent5 2 3 4 3 2 2" xfId="15194"/>
    <cellStyle name="20% - Accent5 2 3 4 3 3" xfId="9406"/>
    <cellStyle name="20% - Accent5 2 3 4 3 3 2" xfId="17684"/>
    <cellStyle name="20% - Accent5 2 3 4 3 4" xfId="3698"/>
    <cellStyle name="20% - Accent5 2 3 4 3 5" xfId="12024"/>
    <cellStyle name="20% - Accent5 2 3 4 4" xfId="832"/>
    <cellStyle name="20% - Accent5 2 3 4 4 2" xfId="6913"/>
    <cellStyle name="20% - Accent5 2 3 4 4 2 2" xfId="15195"/>
    <cellStyle name="20% - Accent5 2 3 4 4 3" xfId="9407"/>
    <cellStyle name="20% - Accent5 2 3 4 4 3 2" xfId="17685"/>
    <cellStyle name="20% - Accent5 2 3 4 4 4" xfId="3699"/>
    <cellStyle name="20% - Accent5 2 3 4 4 5" xfId="12025"/>
    <cellStyle name="20% - Accent5 2 3 4 5" xfId="5823"/>
    <cellStyle name="20% - Accent5 2 3 4 5 2" xfId="14105"/>
    <cellStyle name="20% - Accent5 2 3 4 6" xfId="6909"/>
    <cellStyle name="20% - Accent5 2 3 4 6 2" xfId="15191"/>
    <cellStyle name="20% - Accent5 2 3 4 7" xfId="9403"/>
    <cellStyle name="20% - Accent5 2 3 4 7 2" xfId="17681"/>
    <cellStyle name="20% - Accent5 2 3 4 8" xfId="3695"/>
    <cellStyle name="20% - Accent5 2 3 4 9" xfId="12021"/>
    <cellStyle name="20% - Accent5 2 3 5" xfId="833"/>
    <cellStyle name="20% - Accent5 2 3 5 2" xfId="834"/>
    <cellStyle name="20% - Accent5 2 3 5 2 2" xfId="6915"/>
    <cellStyle name="20% - Accent5 2 3 5 2 2 2" xfId="15197"/>
    <cellStyle name="20% - Accent5 2 3 5 2 3" xfId="9409"/>
    <cellStyle name="20% - Accent5 2 3 5 2 3 2" xfId="17687"/>
    <cellStyle name="20% - Accent5 2 3 5 2 4" xfId="3701"/>
    <cellStyle name="20% - Accent5 2 3 5 2 5" xfId="12027"/>
    <cellStyle name="20% - Accent5 2 3 5 3" xfId="6914"/>
    <cellStyle name="20% - Accent5 2 3 5 3 2" xfId="15196"/>
    <cellStyle name="20% - Accent5 2 3 5 4" xfId="9408"/>
    <cellStyle name="20% - Accent5 2 3 5 4 2" xfId="17686"/>
    <cellStyle name="20% - Accent5 2 3 5 5" xfId="3700"/>
    <cellStyle name="20% - Accent5 2 3 5 6" xfId="12026"/>
    <cellStyle name="20% - Accent5 2 3 6" xfId="835"/>
    <cellStyle name="20% - Accent5 2 3 6 2" xfId="836"/>
    <cellStyle name="20% - Accent5 2 3 6 2 2" xfId="6917"/>
    <cellStyle name="20% - Accent5 2 3 6 2 2 2" xfId="15199"/>
    <cellStyle name="20% - Accent5 2 3 6 2 3" xfId="9411"/>
    <cellStyle name="20% - Accent5 2 3 6 2 3 2" xfId="17689"/>
    <cellStyle name="20% - Accent5 2 3 6 2 4" xfId="3703"/>
    <cellStyle name="20% - Accent5 2 3 6 2 5" xfId="12029"/>
    <cellStyle name="20% - Accent5 2 3 6 3" xfId="6916"/>
    <cellStyle name="20% - Accent5 2 3 6 3 2" xfId="15198"/>
    <cellStyle name="20% - Accent5 2 3 6 4" xfId="9410"/>
    <cellStyle name="20% - Accent5 2 3 6 4 2" xfId="17688"/>
    <cellStyle name="20% - Accent5 2 3 6 5" xfId="3702"/>
    <cellStyle name="20% - Accent5 2 3 6 6" xfId="12028"/>
    <cellStyle name="20% - Accent5 2 3 7" xfId="837"/>
    <cellStyle name="20% - Accent5 2 3 7 2" xfId="6918"/>
    <cellStyle name="20% - Accent5 2 3 7 2 2" xfId="15200"/>
    <cellStyle name="20% - Accent5 2 3 7 3" xfId="9412"/>
    <cellStyle name="20% - Accent5 2 3 7 3 2" xfId="17690"/>
    <cellStyle name="20% - Accent5 2 3 7 4" xfId="3704"/>
    <cellStyle name="20% - Accent5 2 3 7 5" xfId="12030"/>
    <cellStyle name="20% - Accent5 2 3 8" xfId="838"/>
    <cellStyle name="20% - Accent5 2 3 8 2" xfId="6919"/>
    <cellStyle name="20% - Accent5 2 3 8 2 2" xfId="15201"/>
    <cellStyle name="20% - Accent5 2 3 8 3" xfId="9413"/>
    <cellStyle name="20% - Accent5 2 3 8 3 2" xfId="17691"/>
    <cellStyle name="20% - Accent5 2 3 8 4" xfId="3705"/>
    <cellStyle name="20% - Accent5 2 3 8 5" xfId="12031"/>
    <cellStyle name="20% - Accent5 2 3 9" xfId="5707"/>
    <cellStyle name="20% - Accent5 2 3 9 2" xfId="13993"/>
    <cellStyle name="20% - Accent5 2 4" xfId="839"/>
    <cellStyle name="20% - Accent5 2 4 10" xfId="12032"/>
    <cellStyle name="20% - Accent5 2 4 2" xfId="840"/>
    <cellStyle name="20% - Accent5 2 4 2 2" xfId="841"/>
    <cellStyle name="20% - Accent5 2 4 2 2 2" xfId="6922"/>
    <cellStyle name="20% - Accent5 2 4 2 2 2 2" xfId="15204"/>
    <cellStyle name="20% - Accent5 2 4 2 2 3" xfId="9416"/>
    <cellStyle name="20% - Accent5 2 4 2 2 3 2" xfId="17694"/>
    <cellStyle name="20% - Accent5 2 4 2 2 4" xfId="3708"/>
    <cellStyle name="20% - Accent5 2 4 2 2 5" xfId="12034"/>
    <cellStyle name="20% - Accent5 2 4 2 3" xfId="6921"/>
    <cellStyle name="20% - Accent5 2 4 2 3 2" xfId="15203"/>
    <cellStyle name="20% - Accent5 2 4 2 4" xfId="9415"/>
    <cellStyle name="20% - Accent5 2 4 2 4 2" xfId="17693"/>
    <cellStyle name="20% - Accent5 2 4 2 5" xfId="3707"/>
    <cellStyle name="20% - Accent5 2 4 2 6" xfId="12033"/>
    <cellStyle name="20% - Accent5 2 4 3" xfId="842"/>
    <cellStyle name="20% - Accent5 2 4 3 2" xfId="843"/>
    <cellStyle name="20% - Accent5 2 4 3 2 2" xfId="6924"/>
    <cellStyle name="20% - Accent5 2 4 3 2 2 2" xfId="15206"/>
    <cellStyle name="20% - Accent5 2 4 3 2 3" xfId="9418"/>
    <cellStyle name="20% - Accent5 2 4 3 2 3 2" xfId="17696"/>
    <cellStyle name="20% - Accent5 2 4 3 2 4" xfId="3710"/>
    <cellStyle name="20% - Accent5 2 4 3 2 5" xfId="12036"/>
    <cellStyle name="20% - Accent5 2 4 3 3" xfId="6923"/>
    <cellStyle name="20% - Accent5 2 4 3 3 2" xfId="15205"/>
    <cellStyle name="20% - Accent5 2 4 3 4" xfId="9417"/>
    <cellStyle name="20% - Accent5 2 4 3 4 2" xfId="17695"/>
    <cellStyle name="20% - Accent5 2 4 3 5" xfId="3709"/>
    <cellStyle name="20% - Accent5 2 4 3 6" xfId="12035"/>
    <cellStyle name="20% - Accent5 2 4 4" xfId="844"/>
    <cellStyle name="20% - Accent5 2 4 4 2" xfId="6925"/>
    <cellStyle name="20% - Accent5 2 4 4 2 2" xfId="15207"/>
    <cellStyle name="20% - Accent5 2 4 4 3" xfId="9419"/>
    <cellStyle name="20% - Accent5 2 4 4 3 2" xfId="17697"/>
    <cellStyle name="20% - Accent5 2 4 4 4" xfId="3711"/>
    <cellStyle name="20% - Accent5 2 4 4 5" xfId="12037"/>
    <cellStyle name="20% - Accent5 2 4 5" xfId="845"/>
    <cellStyle name="20% - Accent5 2 4 5 2" xfId="6926"/>
    <cellStyle name="20% - Accent5 2 4 5 2 2" xfId="15208"/>
    <cellStyle name="20% - Accent5 2 4 5 3" xfId="9420"/>
    <cellStyle name="20% - Accent5 2 4 5 3 2" xfId="17698"/>
    <cellStyle name="20% - Accent5 2 4 5 4" xfId="3712"/>
    <cellStyle name="20% - Accent5 2 4 5 5" xfId="12038"/>
    <cellStyle name="20% - Accent5 2 4 6" xfId="5759"/>
    <cellStyle name="20% - Accent5 2 4 6 2" xfId="14043"/>
    <cellStyle name="20% - Accent5 2 4 7" xfId="6920"/>
    <cellStyle name="20% - Accent5 2 4 7 2" xfId="15202"/>
    <cellStyle name="20% - Accent5 2 4 8" xfId="9414"/>
    <cellStyle name="20% - Accent5 2 4 8 2" xfId="17692"/>
    <cellStyle name="20% - Accent5 2 4 9" xfId="3706"/>
    <cellStyle name="20% - Accent5 2 5" xfId="846"/>
    <cellStyle name="20% - Accent5 2 5 10" xfId="12039"/>
    <cellStyle name="20% - Accent5 2 5 2" xfId="847"/>
    <cellStyle name="20% - Accent5 2 5 2 2" xfId="848"/>
    <cellStyle name="20% - Accent5 2 5 2 2 2" xfId="6929"/>
    <cellStyle name="20% - Accent5 2 5 2 2 2 2" xfId="15211"/>
    <cellStyle name="20% - Accent5 2 5 2 2 3" xfId="9423"/>
    <cellStyle name="20% - Accent5 2 5 2 2 3 2" xfId="17701"/>
    <cellStyle name="20% - Accent5 2 5 2 2 4" xfId="3715"/>
    <cellStyle name="20% - Accent5 2 5 2 2 5" xfId="12041"/>
    <cellStyle name="20% - Accent5 2 5 2 3" xfId="6928"/>
    <cellStyle name="20% - Accent5 2 5 2 3 2" xfId="15210"/>
    <cellStyle name="20% - Accent5 2 5 2 4" xfId="9422"/>
    <cellStyle name="20% - Accent5 2 5 2 4 2" xfId="17700"/>
    <cellStyle name="20% - Accent5 2 5 2 5" xfId="3714"/>
    <cellStyle name="20% - Accent5 2 5 2 6" xfId="12040"/>
    <cellStyle name="20% - Accent5 2 5 3" xfId="849"/>
    <cellStyle name="20% - Accent5 2 5 3 2" xfId="850"/>
    <cellStyle name="20% - Accent5 2 5 3 2 2" xfId="6931"/>
    <cellStyle name="20% - Accent5 2 5 3 2 2 2" xfId="15213"/>
    <cellStyle name="20% - Accent5 2 5 3 2 3" xfId="9425"/>
    <cellStyle name="20% - Accent5 2 5 3 2 3 2" xfId="17703"/>
    <cellStyle name="20% - Accent5 2 5 3 2 4" xfId="3717"/>
    <cellStyle name="20% - Accent5 2 5 3 2 5" xfId="12043"/>
    <cellStyle name="20% - Accent5 2 5 3 3" xfId="6930"/>
    <cellStyle name="20% - Accent5 2 5 3 3 2" xfId="15212"/>
    <cellStyle name="20% - Accent5 2 5 3 4" xfId="9424"/>
    <cellStyle name="20% - Accent5 2 5 3 4 2" xfId="17702"/>
    <cellStyle name="20% - Accent5 2 5 3 5" xfId="3716"/>
    <cellStyle name="20% - Accent5 2 5 3 6" xfId="12042"/>
    <cellStyle name="20% - Accent5 2 5 4" xfId="851"/>
    <cellStyle name="20% - Accent5 2 5 4 2" xfId="6932"/>
    <cellStyle name="20% - Accent5 2 5 4 2 2" xfId="15214"/>
    <cellStyle name="20% - Accent5 2 5 4 3" xfId="9426"/>
    <cellStyle name="20% - Accent5 2 5 4 3 2" xfId="17704"/>
    <cellStyle name="20% - Accent5 2 5 4 4" xfId="3718"/>
    <cellStyle name="20% - Accent5 2 5 4 5" xfId="12044"/>
    <cellStyle name="20% - Accent5 2 5 5" xfId="852"/>
    <cellStyle name="20% - Accent5 2 5 5 2" xfId="6933"/>
    <cellStyle name="20% - Accent5 2 5 5 2 2" xfId="15215"/>
    <cellStyle name="20% - Accent5 2 5 5 3" xfId="9427"/>
    <cellStyle name="20% - Accent5 2 5 5 3 2" xfId="17705"/>
    <cellStyle name="20% - Accent5 2 5 5 4" xfId="3719"/>
    <cellStyle name="20% - Accent5 2 5 5 5" xfId="12045"/>
    <cellStyle name="20% - Accent5 2 5 6" xfId="5847"/>
    <cellStyle name="20% - Accent5 2 5 6 2" xfId="14129"/>
    <cellStyle name="20% - Accent5 2 5 7" xfId="6927"/>
    <cellStyle name="20% - Accent5 2 5 7 2" xfId="15209"/>
    <cellStyle name="20% - Accent5 2 5 8" xfId="9421"/>
    <cellStyle name="20% - Accent5 2 5 8 2" xfId="17699"/>
    <cellStyle name="20% - Accent5 2 5 9" xfId="3713"/>
    <cellStyle name="20% - Accent5 2 6" xfId="853"/>
    <cellStyle name="20% - Accent5 2 6 10" xfId="12046"/>
    <cellStyle name="20% - Accent5 2 6 2" xfId="854"/>
    <cellStyle name="20% - Accent5 2 6 2 2" xfId="855"/>
    <cellStyle name="20% - Accent5 2 6 2 2 2" xfId="6936"/>
    <cellStyle name="20% - Accent5 2 6 2 2 2 2" xfId="15218"/>
    <cellStyle name="20% - Accent5 2 6 2 2 3" xfId="9430"/>
    <cellStyle name="20% - Accent5 2 6 2 2 3 2" xfId="17708"/>
    <cellStyle name="20% - Accent5 2 6 2 2 4" xfId="3722"/>
    <cellStyle name="20% - Accent5 2 6 2 2 5" xfId="12048"/>
    <cellStyle name="20% - Accent5 2 6 2 3" xfId="6935"/>
    <cellStyle name="20% - Accent5 2 6 2 3 2" xfId="15217"/>
    <cellStyle name="20% - Accent5 2 6 2 4" xfId="9429"/>
    <cellStyle name="20% - Accent5 2 6 2 4 2" xfId="17707"/>
    <cellStyle name="20% - Accent5 2 6 2 5" xfId="3721"/>
    <cellStyle name="20% - Accent5 2 6 2 6" xfId="12047"/>
    <cellStyle name="20% - Accent5 2 6 3" xfId="856"/>
    <cellStyle name="20% - Accent5 2 6 3 2" xfId="857"/>
    <cellStyle name="20% - Accent5 2 6 3 2 2" xfId="6938"/>
    <cellStyle name="20% - Accent5 2 6 3 2 2 2" xfId="15220"/>
    <cellStyle name="20% - Accent5 2 6 3 2 3" xfId="9432"/>
    <cellStyle name="20% - Accent5 2 6 3 2 3 2" xfId="17710"/>
    <cellStyle name="20% - Accent5 2 6 3 2 4" xfId="3724"/>
    <cellStyle name="20% - Accent5 2 6 3 2 5" xfId="12050"/>
    <cellStyle name="20% - Accent5 2 6 3 3" xfId="6937"/>
    <cellStyle name="20% - Accent5 2 6 3 3 2" xfId="15219"/>
    <cellStyle name="20% - Accent5 2 6 3 4" xfId="9431"/>
    <cellStyle name="20% - Accent5 2 6 3 4 2" xfId="17709"/>
    <cellStyle name="20% - Accent5 2 6 3 5" xfId="3723"/>
    <cellStyle name="20% - Accent5 2 6 3 6" xfId="12049"/>
    <cellStyle name="20% - Accent5 2 6 4" xfId="858"/>
    <cellStyle name="20% - Accent5 2 6 4 2" xfId="6939"/>
    <cellStyle name="20% - Accent5 2 6 4 2 2" xfId="15221"/>
    <cellStyle name="20% - Accent5 2 6 4 3" xfId="9433"/>
    <cellStyle name="20% - Accent5 2 6 4 3 2" xfId="17711"/>
    <cellStyle name="20% - Accent5 2 6 4 4" xfId="3725"/>
    <cellStyle name="20% - Accent5 2 6 4 5" xfId="12051"/>
    <cellStyle name="20% - Accent5 2 6 5" xfId="859"/>
    <cellStyle name="20% - Accent5 2 6 5 2" xfId="6940"/>
    <cellStyle name="20% - Accent5 2 6 5 2 2" xfId="15222"/>
    <cellStyle name="20% - Accent5 2 6 5 3" xfId="9434"/>
    <cellStyle name="20% - Accent5 2 6 5 3 2" xfId="17712"/>
    <cellStyle name="20% - Accent5 2 6 5 4" xfId="3726"/>
    <cellStyle name="20% - Accent5 2 6 5 5" xfId="12052"/>
    <cellStyle name="20% - Accent5 2 6 6" xfId="5945"/>
    <cellStyle name="20% - Accent5 2 6 6 2" xfId="14227"/>
    <cellStyle name="20% - Accent5 2 6 7" xfId="6934"/>
    <cellStyle name="20% - Accent5 2 6 7 2" xfId="15216"/>
    <cellStyle name="20% - Accent5 2 6 8" xfId="9428"/>
    <cellStyle name="20% - Accent5 2 6 8 2" xfId="17706"/>
    <cellStyle name="20% - Accent5 2 6 9" xfId="3720"/>
    <cellStyle name="20% - Accent5 2 7" xfId="860"/>
    <cellStyle name="20% - Accent5 2 7 2" xfId="861"/>
    <cellStyle name="20% - Accent5 2 7 2 2" xfId="862"/>
    <cellStyle name="20% - Accent5 2 7 2 2 2" xfId="6943"/>
    <cellStyle name="20% - Accent5 2 7 2 2 2 2" xfId="15225"/>
    <cellStyle name="20% - Accent5 2 7 2 2 3" xfId="9437"/>
    <cellStyle name="20% - Accent5 2 7 2 2 3 2" xfId="17715"/>
    <cellStyle name="20% - Accent5 2 7 2 2 4" xfId="3729"/>
    <cellStyle name="20% - Accent5 2 7 2 2 5" xfId="12055"/>
    <cellStyle name="20% - Accent5 2 7 2 3" xfId="6942"/>
    <cellStyle name="20% - Accent5 2 7 2 3 2" xfId="15224"/>
    <cellStyle name="20% - Accent5 2 7 2 4" xfId="9436"/>
    <cellStyle name="20% - Accent5 2 7 2 4 2" xfId="17714"/>
    <cellStyle name="20% - Accent5 2 7 2 5" xfId="3728"/>
    <cellStyle name="20% - Accent5 2 7 2 6" xfId="12054"/>
    <cellStyle name="20% - Accent5 2 7 3" xfId="863"/>
    <cellStyle name="20% - Accent5 2 7 3 2" xfId="6944"/>
    <cellStyle name="20% - Accent5 2 7 3 2 2" xfId="15226"/>
    <cellStyle name="20% - Accent5 2 7 3 3" xfId="9438"/>
    <cellStyle name="20% - Accent5 2 7 3 3 2" xfId="17716"/>
    <cellStyle name="20% - Accent5 2 7 3 4" xfId="3730"/>
    <cellStyle name="20% - Accent5 2 7 3 5" xfId="12056"/>
    <cellStyle name="20% - Accent5 2 7 4" xfId="864"/>
    <cellStyle name="20% - Accent5 2 7 4 2" xfId="6945"/>
    <cellStyle name="20% - Accent5 2 7 4 2 2" xfId="15227"/>
    <cellStyle name="20% - Accent5 2 7 4 3" xfId="9439"/>
    <cellStyle name="20% - Accent5 2 7 4 3 2" xfId="17717"/>
    <cellStyle name="20% - Accent5 2 7 4 4" xfId="3731"/>
    <cellStyle name="20% - Accent5 2 7 4 5" xfId="12057"/>
    <cellStyle name="20% - Accent5 2 7 5" xfId="5735"/>
    <cellStyle name="20% - Accent5 2 7 5 2" xfId="14021"/>
    <cellStyle name="20% - Accent5 2 7 6" xfId="6941"/>
    <cellStyle name="20% - Accent5 2 7 6 2" xfId="15223"/>
    <cellStyle name="20% - Accent5 2 7 7" xfId="9435"/>
    <cellStyle name="20% - Accent5 2 7 7 2" xfId="17713"/>
    <cellStyle name="20% - Accent5 2 7 8" xfId="3727"/>
    <cellStyle name="20% - Accent5 2 7 9" xfId="12053"/>
    <cellStyle name="20% - Accent5 2 8" xfId="865"/>
    <cellStyle name="20% - Accent5 2 8 2" xfId="866"/>
    <cellStyle name="20% - Accent5 2 8 2 2" xfId="6947"/>
    <cellStyle name="20% - Accent5 2 8 2 2 2" xfId="15229"/>
    <cellStyle name="20% - Accent5 2 8 2 3" xfId="9441"/>
    <cellStyle name="20% - Accent5 2 8 2 3 2" xfId="17719"/>
    <cellStyle name="20% - Accent5 2 8 2 4" xfId="3733"/>
    <cellStyle name="20% - Accent5 2 8 2 5" xfId="12059"/>
    <cellStyle name="20% - Accent5 2 8 3" xfId="6946"/>
    <cellStyle name="20% - Accent5 2 8 3 2" xfId="15228"/>
    <cellStyle name="20% - Accent5 2 8 4" xfId="9440"/>
    <cellStyle name="20% - Accent5 2 8 4 2" xfId="17718"/>
    <cellStyle name="20% - Accent5 2 8 5" xfId="3732"/>
    <cellStyle name="20% - Accent5 2 8 6" xfId="12058"/>
    <cellStyle name="20% - Accent5 2 9" xfId="867"/>
    <cellStyle name="20% - Accent5 2 9 2" xfId="868"/>
    <cellStyle name="20% - Accent5 2 9 2 2" xfId="6949"/>
    <cellStyle name="20% - Accent5 2 9 2 2 2" xfId="15231"/>
    <cellStyle name="20% - Accent5 2 9 2 3" xfId="9443"/>
    <cellStyle name="20% - Accent5 2 9 2 3 2" xfId="17721"/>
    <cellStyle name="20% - Accent5 2 9 2 4" xfId="3735"/>
    <cellStyle name="20% - Accent5 2 9 2 5" xfId="12061"/>
    <cellStyle name="20% - Accent5 2 9 3" xfId="6948"/>
    <cellStyle name="20% - Accent5 2 9 3 2" xfId="15230"/>
    <cellStyle name="20% - Accent5 2 9 4" xfId="9442"/>
    <cellStyle name="20% - Accent5 2 9 4 2" xfId="17720"/>
    <cellStyle name="20% - Accent5 2 9 5" xfId="3734"/>
    <cellStyle name="20% - Accent5 2 9 6" xfId="12060"/>
    <cellStyle name="20% - Accent5 20" xfId="11958"/>
    <cellStyle name="20% - Accent5 21" xfId="19355"/>
    <cellStyle name="20% - Accent5 3" xfId="869"/>
    <cellStyle name="20% - Accent5 3 10" xfId="6950"/>
    <cellStyle name="20% - Accent5 3 10 2" xfId="15232"/>
    <cellStyle name="20% - Accent5 3 11" xfId="9444"/>
    <cellStyle name="20% - Accent5 3 11 2" xfId="17722"/>
    <cellStyle name="20% - Accent5 3 12" xfId="3736"/>
    <cellStyle name="20% - Accent5 3 13" xfId="12062"/>
    <cellStyle name="20% - Accent5 3 2" xfId="870"/>
    <cellStyle name="20% - Accent5 3 2 10" xfId="12063"/>
    <cellStyle name="20% - Accent5 3 2 2" xfId="871"/>
    <cellStyle name="20% - Accent5 3 2 2 2" xfId="872"/>
    <cellStyle name="20% - Accent5 3 2 2 2 2" xfId="6953"/>
    <cellStyle name="20% - Accent5 3 2 2 2 2 2" xfId="15235"/>
    <cellStyle name="20% - Accent5 3 2 2 2 3" xfId="9447"/>
    <cellStyle name="20% - Accent5 3 2 2 2 3 2" xfId="17725"/>
    <cellStyle name="20% - Accent5 3 2 2 2 4" xfId="3739"/>
    <cellStyle name="20% - Accent5 3 2 2 2 5" xfId="12065"/>
    <cellStyle name="20% - Accent5 3 2 2 3" xfId="6952"/>
    <cellStyle name="20% - Accent5 3 2 2 3 2" xfId="15234"/>
    <cellStyle name="20% - Accent5 3 2 2 4" xfId="9446"/>
    <cellStyle name="20% - Accent5 3 2 2 4 2" xfId="17724"/>
    <cellStyle name="20% - Accent5 3 2 2 5" xfId="3738"/>
    <cellStyle name="20% - Accent5 3 2 2 6" xfId="12064"/>
    <cellStyle name="20% - Accent5 3 2 3" xfId="873"/>
    <cellStyle name="20% - Accent5 3 2 3 2" xfId="874"/>
    <cellStyle name="20% - Accent5 3 2 3 2 2" xfId="6955"/>
    <cellStyle name="20% - Accent5 3 2 3 2 2 2" xfId="15237"/>
    <cellStyle name="20% - Accent5 3 2 3 2 3" xfId="9449"/>
    <cellStyle name="20% - Accent5 3 2 3 2 3 2" xfId="17727"/>
    <cellStyle name="20% - Accent5 3 2 3 2 4" xfId="3741"/>
    <cellStyle name="20% - Accent5 3 2 3 2 5" xfId="12067"/>
    <cellStyle name="20% - Accent5 3 2 3 3" xfId="6954"/>
    <cellStyle name="20% - Accent5 3 2 3 3 2" xfId="15236"/>
    <cellStyle name="20% - Accent5 3 2 3 4" xfId="9448"/>
    <cellStyle name="20% - Accent5 3 2 3 4 2" xfId="17726"/>
    <cellStyle name="20% - Accent5 3 2 3 5" xfId="3740"/>
    <cellStyle name="20% - Accent5 3 2 3 6" xfId="12066"/>
    <cellStyle name="20% - Accent5 3 2 4" xfId="875"/>
    <cellStyle name="20% - Accent5 3 2 4 2" xfId="6956"/>
    <cellStyle name="20% - Accent5 3 2 4 2 2" xfId="15238"/>
    <cellStyle name="20% - Accent5 3 2 4 3" xfId="9450"/>
    <cellStyle name="20% - Accent5 3 2 4 3 2" xfId="17728"/>
    <cellStyle name="20% - Accent5 3 2 4 4" xfId="3742"/>
    <cellStyle name="20% - Accent5 3 2 4 5" xfId="12068"/>
    <cellStyle name="20% - Accent5 3 2 5" xfId="876"/>
    <cellStyle name="20% - Accent5 3 2 5 2" xfId="6957"/>
    <cellStyle name="20% - Accent5 3 2 5 2 2" xfId="15239"/>
    <cellStyle name="20% - Accent5 3 2 5 3" xfId="9451"/>
    <cellStyle name="20% - Accent5 3 2 5 3 2" xfId="17729"/>
    <cellStyle name="20% - Accent5 3 2 5 4" xfId="3743"/>
    <cellStyle name="20% - Accent5 3 2 5 5" xfId="12069"/>
    <cellStyle name="20% - Accent5 3 2 6" xfId="5861"/>
    <cellStyle name="20% - Accent5 3 2 6 2" xfId="14143"/>
    <cellStyle name="20% - Accent5 3 2 7" xfId="6951"/>
    <cellStyle name="20% - Accent5 3 2 7 2" xfId="15233"/>
    <cellStyle name="20% - Accent5 3 2 8" xfId="9445"/>
    <cellStyle name="20% - Accent5 3 2 8 2" xfId="17723"/>
    <cellStyle name="20% - Accent5 3 2 9" xfId="3737"/>
    <cellStyle name="20% - Accent5 3 3" xfId="877"/>
    <cellStyle name="20% - Accent5 3 3 10" xfId="12070"/>
    <cellStyle name="20% - Accent5 3 3 2" xfId="878"/>
    <cellStyle name="20% - Accent5 3 3 2 2" xfId="879"/>
    <cellStyle name="20% - Accent5 3 3 2 2 2" xfId="6960"/>
    <cellStyle name="20% - Accent5 3 3 2 2 2 2" xfId="15242"/>
    <cellStyle name="20% - Accent5 3 3 2 2 3" xfId="9454"/>
    <cellStyle name="20% - Accent5 3 3 2 2 3 2" xfId="17732"/>
    <cellStyle name="20% - Accent5 3 3 2 2 4" xfId="3746"/>
    <cellStyle name="20% - Accent5 3 3 2 2 5" xfId="12072"/>
    <cellStyle name="20% - Accent5 3 3 2 3" xfId="6959"/>
    <cellStyle name="20% - Accent5 3 3 2 3 2" xfId="15241"/>
    <cellStyle name="20% - Accent5 3 3 2 4" xfId="9453"/>
    <cellStyle name="20% - Accent5 3 3 2 4 2" xfId="17731"/>
    <cellStyle name="20% - Accent5 3 3 2 5" xfId="3745"/>
    <cellStyle name="20% - Accent5 3 3 2 6" xfId="12071"/>
    <cellStyle name="20% - Accent5 3 3 3" xfId="880"/>
    <cellStyle name="20% - Accent5 3 3 3 2" xfId="881"/>
    <cellStyle name="20% - Accent5 3 3 3 2 2" xfId="6962"/>
    <cellStyle name="20% - Accent5 3 3 3 2 2 2" xfId="15244"/>
    <cellStyle name="20% - Accent5 3 3 3 2 3" xfId="9456"/>
    <cellStyle name="20% - Accent5 3 3 3 2 3 2" xfId="17734"/>
    <cellStyle name="20% - Accent5 3 3 3 2 4" xfId="3748"/>
    <cellStyle name="20% - Accent5 3 3 3 2 5" xfId="12074"/>
    <cellStyle name="20% - Accent5 3 3 3 3" xfId="6961"/>
    <cellStyle name="20% - Accent5 3 3 3 3 2" xfId="15243"/>
    <cellStyle name="20% - Accent5 3 3 3 4" xfId="9455"/>
    <cellStyle name="20% - Accent5 3 3 3 4 2" xfId="17733"/>
    <cellStyle name="20% - Accent5 3 3 3 5" xfId="3747"/>
    <cellStyle name="20% - Accent5 3 3 3 6" xfId="12073"/>
    <cellStyle name="20% - Accent5 3 3 4" xfId="882"/>
    <cellStyle name="20% - Accent5 3 3 4 2" xfId="6963"/>
    <cellStyle name="20% - Accent5 3 3 4 2 2" xfId="15245"/>
    <cellStyle name="20% - Accent5 3 3 4 3" xfId="9457"/>
    <cellStyle name="20% - Accent5 3 3 4 3 2" xfId="17735"/>
    <cellStyle name="20% - Accent5 3 3 4 4" xfId="3749"/>
    <cellStyle name="20% - Accent5 3 3 4 5" xfId="12075"/>
    <cellStyle name="20% - Accent5 3 3 5" xfId="883"/>
    <cellStyle name="20% - Accent5 3 3 5 2" xfId="6964"/>
    <cellStyle name="20% - Accent5 3 3 5 2 2" xfId="15246"/>
    <cellStyle name="20% - Accent5 3 3 5 3" xfId="9458"/>
    <cellStyle name="20% - Accent5 3 3 5 3 2" xfId="17736"/>
    <cellStyle name="20% - Accent5 3 3 5 4" xfId="3750"/>
    <cellStyle name="20% - Accent5 3 3 5 5" xfId="12076"/>
    <cellStyle name="20% - Accent5 3 3 6" xfId="5959"/>
    <cellStyle name="20% - Accent5 3 3 6 2" xfId="14241"/>
    <cellStyle name="20% - Accent5 3 3 7" xfId="6958"/>
    <cellStyle name="20% - Accent5 3 3 7 2" xfId="15240"/>
    <cellStyle name="20% - Accent5 3 3 8" xfId="9452"/>
    <cellStyle name="20% - Accent5 3 3 8 2" xfId="17730"/>
    <cellStyle name="20% - Accent5 3 3 9" xfId="3744"/>
    <cellStyle name="20% - Accent5 3 4" xfId="884"/>
    <cellStyle name="20% - Accent5 3 4 2" xfId="885"/>
    <cellStyle name="20% - Accent5 3 4 2 2" xfId="886"/>
    <cellStyle name="20% - Accent5 3 4 2 2 2" xfId="6967"/>
    <cellStyle name="20% - Accent5 3 4 2 2 2 2" xfId="15249"/>
    <cellStyle name="20% - Accent5 3 4 2 2 3" xfId="9461"/>
    <cellStyle name="20% - Accent5 3 4 2 2 3 2" xfId="17739"/>
    <cellStyle name="20% - Accent5 3 4 2 2 4" xfId="3753"/>
    <cellStyle name="20% - Accent5 3 4 2 2 5" xfId="12079"/>
    <cellStyle name="20% - Accent5 3 4 2 3" xfId="6966"/>
    <cellStyle name="20% - Accent5 3 4 2 3 2" xfId="15248"/>
    <cellStyle name="20% - Accent5 3 4 2 4" xfId="9460"/>
    <cellStyle name="20% - Accent5 3 4 2 4 2" xfId="17738"/>
    <cellStyle name="20% - Accent5 3 4 2 5" xfId="3752"/>
    <cellStyle name="20% - Accent5 3 4 2 6" xfId="12078"/>
    <cellStyle name="20% - Accent5 3 4 3" xfId="887"/>
    <cellStyle name="20% - Accent5 3 4 3 2" xfId="6968"/>
    <cellStyle name="20% - Accent5 3 4 3 2 2" xfId="15250"/>
    <cellStyle name="20% - Accent5 3 4 3 3" xfId="9462"/>
    <cellStyle name="20% - Accent5 3 4 3 3 2" xfId="17740"/>
    <cellStyle name="20% - Accent5 3 4 3 4" xfId="3754"/>
    <cellStyle name="20% - Accent5 3 4 3 5" xfId="12080"/>
    <cellStyle name="20% - Accent5 3 4 4" xfId="888"/>
    <cellStyle name="20% - Accent5 3 4 4 2" xfId="6969"/>
    <cellStyle name="20% - Accent5 3 4 4 2 2" xfId="15251"/>
    <cellStyle name="20% - Accent5 3 4 4 3" xfId="9463"/>
    <cellStyle name="20% - Accent5 3 4 4 3 2" xfId="17741"/>
    <cellStyle name="20% - Accent5 3 4 4 4" xfId="3755"/>
    <cellStyle name="20% - Accent5 3 4 4 5" xfId="12081"/>
    <cellStyle name="20% - Accent5 3 4 5" xfId="5775"/>
    <cellStyle name="20% - Accent5 3 4 5 2" xfId="14057"/>
    <cellStyle name="20% - Accent5 3 4 6" xfId="6965"/>
    <cellStyle name="20% - Accent5 3 4 6 2" xfId="15247"/>
    <cellStyle name="20% - Accent5 3 4 7" xfId="9459"/>
    <cellStyle name="20% - Accent5 3 4 7 2" xfId="17737"/>
    <cellStyle name="20% - Accent5 3 4 8" xfId="3751"/>
    <cellStyle name="20% - Accent5 3 4 9" xfId="12077"/>
    <cellStyle name="20% - Accent5 3 5" xfId="889"/>
    <cellStyle name="20% - Accent5 3 5 2" xfId="890"/>
    <cellStyle name="20% - Accent5 3 5 2 2" xfId="6971"/>
    <cellStyle name="20% - Accent5 3 5 2 2 2" xfId="15253"/>
    <cellStyle name="20% - Accent5 3 5 2 3" xfId="9465"/>
    <cellStyle name="20% - Accent5 3 5 2 3 2" xfId="17743"/>
    <cellStyle name="20% - Accent5 3 5 2 4" xfId="3757"/>
    <cellStyle name="20% - Accent5 3 5 2 5" xfId="12083"/>
    <cellStyle name="20% - Accent5 3 5 3" xfId="6970"/>
    <cellStyle name="20% - Accent5 3 5 3 2" xfId="15252"/>
    <cellStyle name="20% - Accent5 3 5 4" xfId="9464"/>
    <cellStyle name="20% - Accent5 3 5 4 2" xfId="17742"/>
    <cellStyle name="20% - Accent5 3 5 5" xfId="3756"/>
    <cellStyle name="20% - Accent5 3 5 6" xfId="12082"/>
    <cellStyle name="20% - Accent5 3 6" xfId="891"/>
    <cellStyle name="20% - Accent5 3 6 2" xfId="892"/>
    <cellStyle name="20% - Accent5 3 6 2 2" xfId="6973"/>
    <cellStyle name="20% - Accent5 3 6 2 2 2" xfId="15255"/>
    <cellStyle name="20% - Accent5 3 6 2 3" xfId="9467"/>
    <cellStyle name="20% - Accent5 3 6 2 3 2" xfId="17745"/>
    <cellStyle name="20% - Accent5 3 6 2 4" xfId="3759"/>
    <cellStyle name="20% - Accent5 3 6 2 5" xfId="12085"/>
    <cellStyle name="20% - Accent5 3 6 3" xfId="6972"/>
    <cellStyle name="20% - Accent5 3 6 3 2" xfId="15254"/>
    <cellStyle name="20% - Accent5 3 6 4" xfId="9466"/>
    <cellStyle name="20% - Accent5 3 6 4 2" xfId="17744"/>
    <cellStyle name="20% - Accent5 3 6 5" xfId="3758"/>
    <cellStyle name="20% - Accent5 3 6 6" xfId="12084"/>
    <cellStyle name="20% - Accent5 3 7" xfId="893"/>
    <cellStyle name="20% - Accent5 3 7 2" xfId="6974"/>
    <cellStyle name="20% - Accent5 3 7 2 2" xfId="15256"/>
    <cellStyle name="20% - Accent5 3 7 3" xfId="9468"/>
    <cellStyle name="20% - Accent5 3 7 3 2" xfId="17746"/>
    <cellStyle name="20% - Accent5 3 7 4" xfId="3760"/>
    <cellStyle name="20% - Accent5 3 7 5" xfId="12086"/>
    <cellStyle name="20% - Accent5 3 8" xfId="894"/>
    <cellStyle name="20% - Accent5 3 8 2" xfId="6975"/>
    <cellStyle name="20% - Accent5 3 8 2 2" xfId="15257"/>
    <cellStyle name="20% - Accent5 3 8 3" xfId="9469"/>
    <cellStyle name="20% - Accent5 3 8 3 2" xfId="17747"/>
    <cellStyle name="20% - Accent5 3 8 4" xfId="3761"/>
    <cellStyle name="20% - Accent5 3 8 5" xfId="12087"/>
    <cellStyle name="20% - Accent5 3 9" xfId="5658"/>
    <cellStyle name="20% - Accent5 3 9 2" xfId="13945"/>
    <cellStyle name="20% - Accent5 4" xfId="895"/>
    <cellStyle name="20% - Accent5 4 10" xfId="6976"/>
    <cellStyle name="20% - Accent5 4 10 2" xfId="15258"/>
    <cellStyle name="20% - Accent5 4 11" xfId="9470"/>
    <cellStyle name="20% - Accent5 4 11 2" xfId="17748"/>
    <cellStyle name="20% - Accent5 4 12" xfId="3762"/>
    <cellStyle name="20% - Accent5 4 13" xfId="12088"/>
    <cellStyle name="20% - Accent5 4 2" xfId="896"/>
    <cellStyle name="20% - Accent5 4 2 10" xfId="12089"/>
    <cellStyle name="20% - Accent5 4 2 2" xfId="897"/>
    <cellStyle name="20% - Accent5 4 2 2 2" xfId="898"/>
    <cellStyle name="20% - Accent5 4 2 2 2 2" xfId="6979"/>
    <cellStyle name="20% - Accent5 4 2 2 2 2 2" xfId="15261"/>
    <cellStyle name="20% - Accent5 4 2 2 2 3" xfId="9473"/>
    <cellStyle name="20% - Accent5 4 2 2 2 3 2" xfId="17751"/>
    <cellStyle name="20% - Accent5 4 2 2 2 4" xfId="3765"/>
    <cellStyle name="20% - Accent5 4 2 2 2 5" xfId="12091"/>
    <cellStyle name="20% - Accent5 4 2 2 3" xfId="6978"/>
    <cellStyle name="20% - Accent5 4 2 2 3 2" xfId="15260"/>
    <cellStyle name="20% - Accent5 4 2 2 4" xfId="9472"/>
    <cellStyle name="20% - Accent5 4 2 2 4 2" xfId="17750"/>
    <cellStyle name="20% - Accent5 4 2 2 5" xfId="3764"/>
    <cellStyle name="20% - Accent5 4 2 2 6" xfId="12090"/>
    <cellStyle name="20% - Accent5 4 2 3" xfId="899"/>
    <cellStyle name="20% - Accent5 4 2 3 2" xfId="900"/>
    <cellStyle name="20% - Accent5 4 2 3 2 2" xfId="6981"/>
    <cellStyle name="20% - Accent5 4 2 3 2 2 2" xfId="15263"/>
    <cellStyle name="20% - Accent5 4 2 3 2 3" xfId="9475"/>
    <cellStyle name="20% - Accent5 4 2 3 2 3 2" xfId="17753"/>
    <cellStyle name="20% - Accent5 4 2 3 2 4" xfId="3767"/>
    <cellStyle name="20% - Accent5 4 2 3 2 5" xfId="12093"/>
    <cellStyle name="20% - Accent5 4 2 3 3" xfId="6980"/>
    <cellStyle name="20% - Accent5 4 2 3 3 2" xfId="15262"/>
    <cellStyle name="20% - Accent5 4 2 3 4" xfId="9474"/>
    <cellStyle name="20% - Accent5 4 2 3 4 2" xfId="17752"/>
    <cellStyle name="20% - Accent5 4 2 3 5" xfId="3766"/>
    <cellStyle name="20% - Accent5 4 2 3 6" xfId="12092"/>
    <cellStyle name="20% - Accent5 4 2 4" xfId="901"/>
    <cellStyle name="20% - Accent5 4 2 4 2" xfId="6982"/>
    <cellStyle name="20% - Accent5 4 2 4 2 2" xfId="15264"/>
    <cellStyle name="20% - Accent5 4 2 4 3" xfId="9476"/>
    <cellStyle name="20% - Accent5 4 2 4 3 2" xfId="17754"/>
    <cellStyle name="20% - Accent5 4 2 4 4" xfId="3768"/>
    <cellStyle name="20% - Accent5 4 2 4 5" xfId="12094"/>
    <cellStyle name="20% - Accent5 4 2 5" xfId="902"/>
    <cellStyle name="20% - Accent5 4 2 5 2" xfId="6983"/>
    <cellStyle name="20% - Accent5 4 2 5 2 2" xfId="15265"/>
    <cellStyle name="20% - Accent5 4 2 5 3" xfId="9477"/>
    <cellStyle name="20% - Accent5 4 2 5 3 2" xfId="17755"/>
    <cellStyle name="20% - Accent5 4 2 5 4" xfId="3769"/>
    <cellStyle name="20% - Accent5 4 2 5 5" xfId="12095"/>
    <cellStyle name="20% - Accent5 4 2 6" xfId="5889"/>
    <cellStyle name="20% - Accent5 4 2 6 2" xfId="14171"/>
    <cellStyle name="20% - Accent5 4 2 7" xfId="6977"/>
    <cellStyle name="20% - Accent5 4 2 7 2" xfId="15259"/>
    <cellStyle name="20% - Accent5 4 2 8" xfId="9471"/>
    <cellStyle name="20% - Accent5 4 2 8 2" xfId="17749"/>
    <cellStyle name="20% - Accent5 4 2 9" xfId="3763"/>
    <cellStyle name="20% - Accent5 4 3" xfId="903"/>
    <cellStyle name="20% - Accent5 4 3 10" xfId="12096"/>
    <cellStyle name="20% - Accent5 4 3 2" xfId="904"/>
    <cellStyle name="20% - Accent5 4 3 2 2" xfId="905"/>
    <cellStyle name="20% - Accent5 4 3 2 2 2" xfId="6986"/>
    <cellStyle name="20% - Accent5 4 3 2 2 2 2" xfId="15268"/>
    <cellStyle name="20% - Accent5 4 3 2 2 3" xfId="9480"/>
    <cellStyle name="20% - Accent5 4 3 2 2 3 2" xfId="17758"/>
    <cellStyle name="20% - Accent5 4 3 2 2 4" xfId="3772"/>
    <cellStyle name="20% - Accent5 4 3 2 2 5" xfId="12098"/>
    <cellStyle name="20% - Accent5 4 3 2 3" xfId="6985"/>
    <cellStyle name="20% - Accent5 4 3 2 3 2" xfId="15267"/>
    <cellStyle name="20% - Accent5 4 3 2 4" xfId="9479"/>
    <cellStyle name="20% - Accent5 4 3 2 4 2" xfId="17757"/>
    <cellStyle name="20% - Accent5 4 3 2 5" xfId="3771"/>
    <cellStyle name="20% - Accent5 4 3 2 6" xfId="12097"/>
    <cellStyle name="20% - Accent5 4 3 3" xfId="906"/>
    <cellStyle name="20% - Accent5 4 3 3 2" xfId="907"/>
    <cellStyle name="20% - Accent5 4 3 3 2 2" xfId="6988"/>
    <cellStyle name="20% - Accent5 4 3 3 2 2 2" xfId="15270"/>
    <cellStyle name="20% - Accent5 4 3 3 2 3" xfId="9482"/>
    <cellStyle name="20% - Accent5 4 3 3 2 3 2" xfId="17760"/>
    <cellStyle name="20% - Accent5 4 3 3 2 4" xfId="3774"/>
    <cellStyle name="20% - Accent5 4 3 3 2 5" xfId="12100"/>
    <cellStyle name="20% - Accent5 4 3 3 3" xfId="6987"/>
    <cellStyle name="20% - Accent5 4 3 3 3 2" xfId="15269"/>
    <cellStyle name="20% - Accent5 4 3 3 4" xfId="9481"/>
    <cellStyle name="20% - Accent5 4 3 3 4 2" xfId="17759"/>
    <cellStyle name="20% - Accent5 4 3 3 5" xfId="3773"/>
    <cellStyle name="20% - Accent5 4 3 3 6" xfId="12099"/>
    <cellStyle name="20% - Accent5 4 3 4" xfId="908"/>
    <cellStyle name="20% - Accent5 4 3 4 2" xfId="6989"/>
    <cellStyle name="20% - Accent5 4 3 4 2 2" xfId="15271"/>
    <cellStyle name="20% - Accent5 4 3 4 3" xfId="9483"/>
    <cellStyle name="20% - Accent5 4 3 4 3 2" xfId="17761"/>
    <cellStyle name="20% - Accent5 4 3 4 4" xfId="3775"/>
    <cellStyle name="20% - Accent5 4 3 4 5" xfId="12101"/>
    <cellStyle name="20% - Accent5 4 3 5" xfId="909"/>
    <cellStyle name="20% - Accent5 4 3 5 2" xfId="6990"/>
    <cellStyle name="20% - Accent5 4 3 5 2 2" xfId="15272"/>
    <cellStyle name="20% - Accent5 4 3 5 3" xfId="9484"/>
    <cellStyle name="20% - Accent5 4 3 5 3 2" xfId="17762"/>
    <cellStyle name="20% - Accent5 4 3 5 4" xfId="3776"/>
    <cellStyle name="20% - Accent5 4 3 5 5" xfId="12102"/>
    <cellStyle name="20% - Accent5 4 3 6" xfId="5987"/>
    <cellStyle name="20% - Accent5 4 3 6 2" xfId="14269"/>
    <cellStyle name="20% - Accent5 4 3 7" xfId="6984"/>
    <cellStyle name="20% - Accent5 4 3 7 2" xfId="15266"/>
    <cellStyle name="20% - Accent5 4 3 8" xfId="9478"/>
    <cellStyle name="20% - Accent5 4 3 8 2" xfId="17756"/>
    <cellStyle name="20% - Accent5 4 3 9" xfId="3770"/>
    <cellStyle name="20% - Accent5 4 4" xfId="910"/>
    <cellStyle name="20% - Accent5 4 4 2" xfId="911"/>
    <cellStyle name="20% - Accent5 4 4 2 2" xfId="912"/>
    <cellStyle name="20% - Accent5 4 4 2 2 2" xfId="6993"/>
    <cellStyle name="20% - Accent5 4 4 2 2 2 2" xfId="15275"/>
    <cellStyle name="20% - Accent5 4 4 2 2 3" xfId="9487"/>
    <cellStyle name="20% - Accent5 4 4 2 2 3 2" xfId="17765"/>
    <cellStyle name="20% - Accent5 4 4 2 2 4" xfId="3779"/>
    <cellStyle name="20% - Accent5 4 4 2 2 5" xfId="12105"/>
    <cellStyle name="20% - Accent5 4 4 2 3" xfId="6992"/>
    <cellStyle name="20% - Accent5 4 4 2 3 2" xfId="15274"/>
    <cellStyle name="20% - Accent5 4 4 2 4" xfId="9486"/>
    <cellStyle name="20% - Accent5 4 4 2 4 2" xfId="17764"/>
    <cellStyle name="20% - Accent5 4 4 2 5" xfId="3778"/>
    <cellStyle name="20% - Accent5 4 4 2 6" xfId="12104"/>
    <cellStyle name="20% - Accent5 4 4 3" xfId="913"/>
    <cellStyle name="20% - Accent5 4 4 3 2" xfId="6994"/>
    <cellStyle name="20% - Accent5 4 4 3 2 2" xfId="15276"/>
    <cellStyle name="20% - Accent5 4 4 3 3" xfId="9488"/>
    <cellStyle name="20% - Accent5 4 4 3 3 2" xfId="17766"/>
    <cellStyle name="20% - Accent5 4 4 3 4" xfId="3780"/>
    <cellStyle name="20% - Accent5 4 4 3 5" xfId="12106"/>
    <cellStyle name="20% - Accent5 4 4 4" xfId="914"/>
    <cellStyle name="20% - Accent5 4 4 4 2" xfId="6995"/>
    <cellStyle name="20% - Accent5 4 4 4 2 2" xfId="15277"/>
    <cellStyle name="20% - Accent5 4 4 4 3" xfId="9489"/>
    <cellStyle name="20% - Accent5 4 4 4 3 2" xfId="17767"/>
    <cellStyle name="20% - Accent5 4 4 4 4" xfId="3781"/>
    <cellStyle name="20% - Accent5 4 4 4 5" xfId="12107"/>
    <cellStyle name="20% - Accent5 4 4 5" xfId="5803"/>
    <cellStyle name="20% - Accent5 4 4 5 2" xfId="14085"/>
    <cellStyle name="20% - Accent5 4 4 6" xfId="6991"/>
    <cellStyle name="20% - Accent5 4 4 6 2" xfId="15273"/>
    <cellStyle name="20% - Accent5 4 4 7" xfId="9485"/>
    <cellStyle name="20% - Accent5 4 4 7 2" xfId="17763"/>
    <cellStyle name="20% - Accent5 4 4 8" xfId="3777"/>
    <cellStyle name="20% - Accent5 4 4 9" xfId="12103"/>
    <cellStyle name="20% - Accent5 4 5" xfId="915"/>
    <cellStyle name="20% - Accent5 4 5 2" xfId="916"/>
    <cellStyle name="20% - Accent5 4 5 2 2" xfId="6997"/>
    <cellStyle name="20% - Accent5 4 5 2 2 2" xfId="15279"/>
    <cellStyle name="20% - Accent5 4 5 2 3" xfId="9491"/>
    <cellStyle name="20% - Accent5 4 5 2 3 2" xfId="17769"/>
    <cellStyle name="20% - Accent5 4 5 2 4" xfId="3783"/>
    <cellStyle name="20% - Accent5 4 5 2 5" xfId="12109"/>
    <cellStyle name="20% - Accent5 4 5 3" xfId="6996"/>
    <cellStyle name="20% - Accent5 4 5 3 2" xfId="15278"/>
    <cellStyle name="20% - Accent5 4 5 4" xfId="9490"/>
    <cellStyle name="20% - Accent5 4 5 4 2" xfId="17768"/>
    <cellStyle name="20% - Accent5 4 5 5" xfId="3782"/>
    <cellStyle name="20% - Accent5 4 5 6" xfId="12108"/>
    <cellStyle name="20% - Accent5 4 6" xfId="917"/>
    <cellStyle name="20% - Accent5 4 6 2" xfId="918"/>
    <cellStyle name="20% - Accent5 4 6 2 2" xfId="6999"/>
    <cellStyle name="20% - Accent5 4 6 2 2 2" xfId="15281"/>
    <cellStyle name="20% - Accent5 4 6 2 3" xfId="9493"/>
    <cellStyle name="20% - Accent5 4 6 2 3 2" xfId="17771"/>
    <cellStyle name="20% - Accent5 4 6 2 4" xfId="3785"/>
    <cellStyle name="20% - Accent5 4 6 2 5" xfId="12111"/>
    <cellStyle name="20% - Accent5 4 6 3" xfId="6998"/>
    <cellStyle name="20% - Accent5 4 6 3 2" xfId="15280"/>
    <cellStyle name="20% - Accent5 4 6 4" xfId="9492"/>
    <cellStyle name="20% - Accent5 4 6 4 2" xfId="17770"/>
    <cellStyle name="20% - Accent5 4 6 5" xfId="3784"/>
    <cellStyle name="20% - Accent5 4 6 6" xfId="12110"/>
    <cellStyle name="20% - Accent5 4 7" xfId="919"/>
    <cellStyle name="20% - Accent5 4 7 2" xfId="7000"/>
    <cellStyle name="20% - Accent5 4 7 2 2" xfId="15282"/>
    <cellStyle name="20% - Accent5 4 7 3" xfId="9494"/>
    <cellStyle name="20% - Accent5 4 7 3 2" xfId="17772"/>
    <cellStyle name="20% - Accent5 4 7 4" xfId="3786"/>
    <cellStyle name="20% - Accent5 4 7 5" xfId="12112"/>
    <cellStyle name="20% - Accent5 4 8" xfId="920"/>
    <cellStyle name="20% - Accent5 4 8 2" xfId="7001"/>
    <cellStyle name="20% - Accent5 4 8 2 2" xfId="15283"/>
    <cellStyle name="20% - Accent5 4 8 3" xfId="9495"/>
    <cellStyle name="20% - Accent5 4 8 3 2" xfId="17773"/>
    <cellStyle name="20% - Accent5 4 8 4" xfId="3787"/>
    <cellStyle name="20% - Accent5 4 8 5" xfId="12113"/>
    <cellStyle name="20% - Accent5 4 9" xfId="5687"/>
    <cellStyle name="20% - Accent5 4 9 2" xfId="13973"/>
    <cellStyle name="20% - Accent5 5" xfId="921"/>
    <cellStyle name="20% - Accent5 5 10" xfId="12114"/>
    <cellStyle name="20% - Accent5 5 2" xfId="922"/>
    <cellStyle name="20% - Accent5 5 2 2" xfId="923"/>
    <cellStyle name="20% - Accent5 5 2 2 2" xfId="7004"/>
    <cellStyle name="20% - Accent5 5 2 2 2 2" xfId="15286"/>
    <cellStyle name="20% - Accent5 5 2 2 3" xfId="9498"/>
    <cellStyle name="20% - Accent5 5 2 2 3 2" xfId="17776"/>
    <cellStyle name="20% - Accent5 5 2 2 4" xfId="3790"/>
    <cellStyle name="20% - Accent5 5 2 2 5" xfId="12116"/>
    <cellStyle name="20% - Accent5 5 2 3" xfId="7003"/>
    <cellStyle name="20% - Accent5 5 2 3 2" xfId="15285"/>
    <cellStyle name="20% - Accent5 5 2 4" xfId="9497"/>
    <cellStyle name="20% - Accent5 5 2 4 2" xfId="17775"/>
    <cellStyle name="20% - Accent5 5 2 5" xfId="3789"/>
    <cellStyle name="20% - Accent5 5 2 6" xfId="12115"/>
    <cellStyle name="20% - Accent5 5 3" xfId="924"/>
    <cellStyle name="20% - Accent5 5 3 2" xfId="925"/>
    <cellStyle name="20% - Accent5 5 3 2 2" xfId="7006"/>
    <cellStyle name="20% - Accent5 5 3 2 2 2" xfId="15288"/>
    <cellStyle name="20% - Accent5 5 3 2 3" xfId="9500"/>
    <cellStyle name="20% - Accent5 5 3 2 3 2" xfId="17778"/>
    <cellStyle name="20% - Accent5 5 3 2 4" xfId="3792"/>
    <cellStyle name="20% - Accent5 5 3 2 5" xfId="12118"/>
    <cellStyle name="20% - Accent5 5 3 3" xfId="7005"/>
    <cellStyle name="20% - Accent5 5 3 3 2" xfId="15287"/>
    <cellStyle name="20% - Accent5 5 3 4" xfId="9499"/>
    <cellStyle name="20% - Accent5 5 3 4 2" xfId="17777"/>
    <cellStyle name="20% - Accent5 5 3 5" xfId="3791"/>
    <cellStyle name="20% - Accent5 5 3 6" xfId="12117"/>
    <cellStyle name="20% - Accent5 5 4" xfId="926"/>
    <cellStyle name="20% - Accent5 5 4 2" xfId="7007"/>
    <cellStyle name="20% - Accent5 5 4 2 2" xfId="15289"/>
    <cellStyle name="20% - Accent5 5 4 3" xfId="9501"/>
    <cellStyle name="20% - Accent5 5 4 3 2" xfId="17779"/>
    <cellStyle name="20% - Accent5 5 4 4" xfId="3793"/>
    <cellStyle name="20% - Accent5 5 4 5" xfId="12119"/>
    <cellStyle name="20% - Accent5 5 5" xfId="927"/>
    <cellStyle name="20% - Accent5 5 5 2" xfId="7008"/>
    <cellStyle name="20% - Accent5 5 5 2 2" xfId="15290"/>
    <cellStyle name="20% - Accent5 5 5 3" xfId="9502"/>
    <cellStyle name="20% - Accent5 5 5 3 2" xfId="17780"/>
    <cellStyle name="20% - Accent5 5 5 4" xfId="3794"/>
    <cellStyle name="20% - Accent5 5 5 5" xfId="12120"/>
    <cellStyle name="20% - Accent5 5 6" xfId="5748"/>
    <cellStyle name="20% - Accent5 5 6 2" xfId="14033"/>
    <cellStyle name="20% - Accent5 5 7" xfId="7002"/>
    <cellStyle name="20% - Accent5 5 7 2" xfId="15284"/>
    <cellStyle name="20% - Accent5 5 8" xfId="9496"/>
    <cellStyle name="20% - Accent5 5 8 2" xfId="17774"/>
    <cellStyle name="20% - Accent5 5 9" xfId="3788"/>
    <cellStyle name="20% - Accent5 6" xfId="928"/>
    <cellStyle name="20% - Accent5 6 10" xfId="12121"/>
    <cellStyle name="20% - Accent5 6 2" xfId="929"/>
    <cellStyle name="20% - Accent5 6 2 2" xfId="930"/>
    <cellStyle name="20% - Accent5 6 2 2 2" xfId="7011"/>
    <cellStyle name="20% - Accent5 6 2 2 2 2" xfId="15293"/>
    <cellStyle name="20% - Accent5 6 2 2 3" xfId="9505"/>
    <cellStyle name="20% - Accent5 6 2 2 3 2" xfId="17783"/>
    <cellStyle name="20% - Accent5 6 2 2 4" xfId="3797"/>
    <cellStyle name="20% - Accent5 6 2 2 5" xfId="12123"/>
    <cellStyle name="20% - Accent5 6 2 3" xfId="7010"/>
    <cellStyle name="20% - Accent5 6 2 3 2" xfId="15292"/>
    <cellStyle name="20% - Accent5 6 2 4" xfId="9504"/>
    <cellStyle name="20% - Accent5 6 2 4 2" xfId="17782"/>
    <cellStyle name="20% - Accent5 6 2 5" xfId="3796"/>
    <cellStyle name="20% - Accent5 6 2 6" xfId="12122"/>
    <cellStyle name="20% - Accent5 6 3" xfId="931"/>
    <cellStyle name="20% - Accent5 6 3 2" xfId="932"/>
    <cellStyle name="20% - Accent5 6 3 2 2" xfId="7013"/>
    <cellStyle name="20% - Accent5 6 3 2 2 2" xfId="15295"/>
    <cellStyle name="20% - Accent5 6 3 2 3" xfId="9507"/>
    <cellStyle name="20% - Accent5 6 3 2 3 2" xfId="17785"/>
    <cellStyle name="20% - Accent5 6 3 2 4" xfId="3799"/>
    <cellStyle name="20% - Accent5 6 3 2 5" xfId="12125"/>
    <cellStyle name="20% - Accent5 6 3 3" xfId="7012"/>
    <cellStyle name="20% - Accent5 6 3 3 2" xfId="15294"/>
    <cellStyle name="20% - Accent5 6 3 4" xfId="9506"/>
    <cellStyle name="20% - Accent5 6 3 4 2" xfId="17784"/>
    <cellStyle name="20% - Accent5 6 3 5" xfId="3798"/>
    <cellStyle name="20% - Accent5 6 3 6" xfId="12124"/>
    <cellStyle name="20% - Accent5 6 4" xfId="933"/>
    <cellStyle name="20% - Accent5 6 4 2" xfId="7014"/>
    <cellStyle name="20% - Accent5 6 4 2 2" xfId="15296"/>
    <cellStyle name="20% - Accent5 6 4 3" xfId="9508"/>
    <cellStyle name="20% - Accent5 6 4 3 2" xfId="17786"/>
    <cellStyle name="20% - Accent5 6 4 4" xfId="3800"/>
    <cellStyle name="20% - Accent5 6 4 5" xfId="12126"/>
    <cellStyle name="20% - Accent5 6 5" xfId="934"/>
    <cellStyle name="20% - Accent5 6 5 2" xfId="7015"/>
    <cellStyle name="20% - Accent5 6 5 2 2" xfId="15297"/>
    <cellStyle name="20% - Accent5 6 5 3" xfId="9509"/>
    <cellStyle name="20% - Accent5 6 5 3 2" xfId="17787"/>
    <cellStyle name="20% - Accent5 6 5 4" xfId="3801"/>
    <cellStyle name="20% - Accent5 6 5 5" xfId="12127"/>
    <cellStyle name="20% - Accent5 6 6" xfId="5837"/>
    <cellStyle name="20% - Accent5 6 6 2" xfId="14119"/>
    <cellStyle name="20% - Accent5 6 7" xfId="7009"/>
    <cellStyle name="20% - Accent5 6 7 2" xfId="15291"/>
    <cellStyle name="20% - Accent5 6 8" xfId="9503"/>
    <cellStyle name="20% - Accent5 6 8 2" xfId="17781"/>
    <cellStyle name="20% - Accent5 6 9" xfId="3795"/>
    <cellStyle name="20% - Accent5 7" xfId="935"/>
    <cellStyle name="20% - Accent5 7 10" xfId="12128"/>
    <cellStyle name="20% - Accent5 7 2" xfId="936"/>
    <cellStyle name="20% - Accent5 7 2 2" xfId="937"/>
    <cellStyle name="20% - Accent5 7 2 2 2" xfId="7018"/>
    <cellStyle name="20% - Accent5 7 2 2 2 2" xfId="15300"/>
    <cellStyle name="20% - Accent5 7 2 2 3" xfId="9512"/>
    <cellStyle name="20% - Accent5 7 2 2 3 2" xfId="17790"/>
    <cellStyle name="20% - Accent5 7 2 2 4" xfId="3804"/>
    <cellStyle name="20% - Accent5 7 2 2 5" xfId="12130"/>
    <cellStyle name="20% - Accent5 7 2 3" xfId="7017"/>
    <cellStyle name="20% - Accent5 7 2 3 2" xfId="15299"/>
    <cellStyle name="20% - Accent5 7 2 4" xfId="9511"/>
    <cellStyle name="20% - Accent5 7 2 4 2" xfId="17789"/>
    <cellStyle name="20% - Accent5 7 2 5" xfId="3803"/>
    <cellStyle name="20% - Accent5 7 2 6" xfId="12129"/>
    <cellStyle name="20% - Accent5 7 3" xfId="938"/>
    <cellStyle name="20% - Accent5 7 3 2" xfId="939"/>
    <cellStyle name="20% - Accent5 7 3 2 2" xfId="7020"/>
    <cellStyle name="20% - Accent5 7 3 2 2 2" xfId="15302"/>
    <cellStyle name="20% - Accent5 7 3 2 3" xfId="9514"/>
    <cellStyle name="20% - Accent5 7 3 2 3 2" xfId="17792"/>
    <cellStyle name="20% - Accent5 7 3 2 4" xfId="3806"/>
    <cellStyle name="20% - Accent5 7 3 2 5" xfId="12132"/>
    <cellStyle name="20% - Accent5 7 3 3" xfId="7019"/>
    <cellStyle name="20% - Accent5 7 3 3 2" xfId="15301"/>
    <cellStyle name="20% - Accent5 7 3 4" xfId="9513"/>
    <cellStyle name="20% - Accent5 7 3 4 2" xfId="17791"/>
    <cellStyle name="20% - Accent5 7 3 5" xfId="3805"/>
    <cellStyle name="20% - Accent5 7 3 6" xfId="12131"/>
    <cellStyle name="20% - Accent5 7 4" xfId="940"/>
    <cellStyle name="20% - Accent5 7 4 2" xfId="7021"/>
    <cellStyle name="20% - Accent5 7 4 2 2" xfId="15303"/>
    <cellStyle name="20% - Accent5 7 4 3" xfId="9515"/>
    <cellStyle name="20% - Accent5 7 4 3 2" xfId="17793"/>
    <cellStyle name="20% - Accent5 7 4 4" xfId="3807"/>
    <cellStyle name="20% - Accent5 7 4 5" xfId="12133"/>
    <cellStyle name="20% - Accent5 7 5" xfId="941"/>
    <cellStyle name="20% - Accent5 7 5 2" xfId="7022"/>
    <cellStyle name="20% - Accent5 7 5 2 2" xfId="15304"/>
    <cellStyle name="20% - Accent5 7 5 3" xfId="9516"/>
    <cellStyle name="20% - Accent5 7 5 3 2" xfId="17794"/>
    <cellStyle name="20% - Accent5 7 5 4" xfId="3808"/>
    <cellStyle name="20% - Accent5 7 5 5" xfId="12134"/>
    <cellStyle name="20% - Accent5 7 6" xfId="5923"/>
    <cellStyle name="20% - Accent5 7 6 2" xfId="14205"/>
    <cellStyle name="20% - Accent5 7 7" xfId="7016"/>
    <cellStyle name="20% - Accent5 7 7 2" xfId="15298"/>
    <cellStyle name="20% - Accent5 7 8" xfId="9510"/>
    <cellStyle name="20% - Accent5 7 8 2" xfId="17788"/>
    <cellStyle name="20% - Accent5 7 9" xfId="3802"/>
    <cellStyle name="20% - Accent5 8" xfId="942"/>
    <cellStyle name="20% - Accent5 8 10" xfId="12135"/>
    <cellStyle name="20% - Accent5 8 2" xfId="943"/>
    <cellStyle name="20% - Accent5 8 2 2" xfId="944"/>
    <cellStyle name="20% - Accent5 8 2 2 2" xfId="7025"/>
    <cellStyle name="20% - Accent5 8 2 2 2 2" xfId="15307"/>
    <cellStyle name="20% - Accent5 8 2 2 3" xfId="9519"/>
    <cellStyle name="20% - Accent5 8 2 2 3 2" xfId="17797"/>
    <cellStyle name="20% - Accent5 8 2 2 4" xfId="3811"/>
    <cellStyle name="20% - Accent5 8 2 2 5" xfId="12137"/>
    <cellStyle name="20% - Accent5 8 2 3" xfId="7024"/>
    <cellStyle name="20% - Accent5 8 2 3 2" xfId="15306"/>
    <cellStyle name="20% - Accent5 8 2 4" xfId="9518"/>
    <cellStyle name="20% - Accent5 8 2 4 2" xfId="17796"/>
    <cellStyle name="20% - Accent5 8 2 5" xfId="3810"/>
    <cellStyle name="20% - Accent5 8 2 6" xfId="12136"/>
    <cellStyle name="20% - Accent5 8 3" xfId="945"/>
    <cellStyle name="20% - Accent5 8 3 2" xfId="946"/>
    <cellStyle name="20% - Accent5 8 3 2 2" xfId="7027"/>
    <cellStyle name="20% - Accent5 8 3 2 2 2" xfId="15309"/>
    <cellStyle name="20% - Accent5 8 3 2 3" xfId="9521"/>
    <cellStyle name="20% - Accent5 8 3 2 3 2" xfId="17799"/>
    <cellStyle name="20% - Accent5 8 3 2 4" xfId="3813"/>
    <cellStyle name="20% - Accent5 8 3 2 5" xfId="12139"/>
    <cellStyle name="20% - Accent5 8 3 3" xfId="7026"/>
    <cellStyle name="20% - Accent5 8 3 3 2" xfId="15308"/>
    <cellStyle name="20% - Accent5 8 3 4" xfId="9520"/>
    <cellStyle name="20% - Accent5 8 3 4 2" xfId="17798"/>
    <cellStyle name="20% - Accent5 8 3 5" xfId="3812"/>
    <cellStyle name="20% - Accent5 8 3 6" xfId="12138"/>
    <cellStyle name="20% - Accent5 8 4" xfId="947"/>
    <cellStyle name="20% - Accent5 8 4 2" xfId="7028"/>
    <cellStyle name="20% - Accent5 8 4 2 2" xfId="15310"/>
    <cellStyle name="20% - Accent5 8 4 3" xfId="9522"/>
    <cellStyle name="20% - Accent5 8 4 3 2" xfId="17800"/>
    <cellStyle name="20% - Accent5 8 4 4" xfId="3814"/>
    <cellStyle name="20% - Accent5 8 4 5" xfId="12140"/>
    <cellStyle name="20% - Accent5 8 5" xfId="948"/>
    <cellStyle name="20% - Accent5 8 5 2" xfId="7029"/>
    <cellStyle name="20% - Accent5 8 5 2 2" xfId="15311"/>
    <cellStyle name="20% - Accent5 8 5 3" xfId="9523"/>
    <cellStyle name="20% - Accent5 8 5 3 2" xfId="17801"/>
    <cellStyle name="20% - Accent5 8 5 4" xfId="3815"/>
    <cellStyle name="20% - Accent5 8 5 5" xfId="12141"/>
    <cellStyle name="20% - Accent5 8 6" xfId="5935"/>
    <cellStyle name="20% - Accent5 8 6 2" xfId="14217"/>
    <cellStyle name="20% - Accent5 8 7" xfId="7023"/>
    <cellStyle name="20% - Accent5 8 7 2" xfId="15305"/>
    <cellStyle name="20% - Accent5 8 8" xfId="9517"/>
    <cellStyle name="20% - Accent5 8 8 2" xfId="17795"/>
    <cellStyle name="20% - Accent5 8 9" xfId="3809"/>
    <cellStyle name="20% - Accent5 9" xfId="949"/>
    <cellStyle name="20% - Accent5 9 10" xfId="12142"/>
    <cellStyle name="20% - Accent5 9 2" xfId="950"/>
    <cellStyle name="20% - Accent5 9 2 2" xfId="951"/>
    <cellStyle name="20% - Accent5 9 2 2 2" xfId="7032"/>
    <cellStyle name="20% - Accent5 9 2 2 2 2" xfId="15314"/>
    <cellStyle name="20% - Accent5 9 2 2 3" xfId="9526"/>
    <cellStyle name="20% - Accent5 9 2 2 3 2" xfId="17804"/>
    <cellStyle name="20% - Accent5 9 2 2 4" xfId="3818"/>
    <cellStyle name="20% - Accent5 9 2 2 5" xfId="12144"/>
    <cellStyle name="20% - Accent5 9 2 3" xfId="7031"/>
    <cellStyle name="20% - Accent5 9 2 3 2" xfId="15313"/>
    <cellStyle name="20% - Accent5 9 2 4" xfId="9525"/>
    <cellStyle name="20% - Accent5 9 2 4 2" xfId="17803"/>
    <cellStyle name="20% - Accent5 9 2 5" xfId="3817"/>
    <cellStyle name="20% - Accent5 9 2 6" xfId="12143"/>
    <cellStyle name="20% - Accent5 9 3" xfId="952"/>
    <cellStyle name="20% - Accent5 9 3 2" xfId="953"/>
    <cellStyle name="20% - Accent5 9 3 2 2" xfId="7034"/>
    <cellStyle name="20% - Accent5 9 3 2 2 2" xfId="15316"/>
    <cellStyle name="20% - Accent5 9 3 2 3" xfId="9528"/>
    <cellStyle name="20% - Accent5 9 3 2 3 2" xfId="17806"/>
    <cellStyle name="20% - Accent5 9 3 2 4" xfId="3820"/>
    <cellStyle name="20% - Accent5 9 3 2 5" xfId="12146"/>
    <cellStyle name="20% - Accent5 9 3 3" xfId="7033"/>
    <cellStyle name="20% - Accent5 9 3 3 2" xfId="15315"/>
    <cellStyle name="20% - Accent5 9 3 4" xfId="9527"/>
    <cellStyle name="20% - Accent5 9 3 4 2" xfId="17805"/>
    <cellStyle name="20% - Accent5 9 3 5" xfId="3819"/>
    <cellStyle name="20% - Accent5 9 3 6" xfId="12145"/>
    <cellStyle name="20% - Accent5 9 4" xfId="954"/>
    <cellStyle name="20% - Accent5 9 4 2" xfId="7035"/>
    <cellStyle name="20% - Accent5 9 4 2 2" xfId="15317"/>
    <cellStyle name="20% - Accent5 9 4 3" xfId="9529"/>
    <cellStyle name="20% - Accent5 9 4 3 2" xfId="17807"/>
    <cellStyle name="20% - Accent5 9 4 4" xfId="3821"/>
    <cellStyle name="20% - Accent5 9 4 5" xfId="12147"/>
    <cellStyle name="20% - Accent5 9 5" xfId="955"/>
    <cellStyle name="20% - Accent5 9 5 2" xfId="7036"/>
    <cellStyle name="20% - Accent5 9 5 2 2" xfId="15318"/>
    <cellStyle name="20% - Accent5 9 5 3" xfId="9530"/>
    <cellStyle name="20% - Accent5 9 5 3 2" xfId="17808"/>
    <cellStyle name="20% - Accent5 9 5 4" xfId="3822"/>
    <cellStyle name="20% - Accent5 9 5 5" xfId="12148"/>
    <cellStyle name="20% - Accent5 9 6" xfId="6021"/>
    <cellStyle name="20% - Accent5 9 6 2" xfId="14303"/>
    <cellStyle name="20% - Accent5 9 7" xfId="7030"/>
    <cellStyle name="20% - Accent5 9 7 2" xfId="15312"/>
    <cellStyle name="20% - Accent5 9 8" xfId="9524"/>
    <cellStyle name="20% - Accent5 9 8 2" xfId="17802"/>
    <cellStyle name="20% - Accent5 9 9" xfId="3816"/>
    <cellStyle name="20% - Accent6" xfId="956" builtinId="50" customBuiltin="1"/>
    <cellStyle name="20% - Accent6 10" xfId="957"/>
    <cellStyle name="20% - Accent6 10 10" xfId="3824"/>
    <cellStyle name="20% - Accent6 10 11" xfId="12150"/>
    <cellStyle name="20% - Accent6 10 2" xfId="958"/>
    <cellStyle name="20% - Accent6 10 2 2" xfId="959"/>
    <cellStyle name="20% - Accent6 10 2 2 2" xfId="7040"/>
    <cellStyle name="20% - Accent6 10 2 2 2 2" xfId="15322"/>
    <cellStyle name="20% - Accent6 10 2 2 3" xfId="9534"/>
    <cellStyle name="20% - Accent6 10 2 2 3 2" xfId="17812"/>
    <cellStyle name="20% - Accent6 10 2 2 4" xfId="3826"/>
    <cellStyle name="20% - Accent6 10 2 2 5" xfId="12152"/>
    <cellStyle name="20% - Accent6 10 2 3" xfId="7039"/>
    <cellStyle name="20% - Accent6 10 2 3 2" xfId="15321"/>
    <cellStyle name="20% - Accent6 10 2 4" xfId="9533"/>
    <cellStyle name="20% - Accent6 10 2 4 2" xfId="17811"/>
    <cellStyle name="20% - Accent6 10 2 5" xfId="3825"/>
    <cellStyle name="20% - Accent6 10 2 6" xfId="12151"/>
    <cellStyle name="20% - Accent6 10 3" xfId="960"/>
    <cellStyle name="20% - Accent6 10 3 2" xfId="961"/>
    <cellStyle name="20% - Accent6 10 3 2 2" xfId="7042"/>
    <cellStyle name="20% - Accent6 10 3 2 2 2" xfId="15324"/>
    <cellStyle name="20% - Accent6 10 3 2 3" xfId="9536"/>
    <cellStyle name="20% - Accent6 10 3 2 3 2" xfId="17814"/>
    <cellStyle name="20% - Accent6 10 3 2 4" xfId="3828"/>
    <cellStyle name="20% - Accent6 10 3 2 5" xfId="12154"/>
    <cellStyle name="20% - Accent6 10 3 3" xfId="7041"/>
    <cellStyle name="20% - Accent6 10 3 3 2" xfId="15323"/>
    <cellStyle name="20% - Accent6 10 3 4" xfId="9535"/>
    <cellStyle name="20% - Accent6 10 3 4 2" xfId="17813"/>
    <cellStyle name="20% - Accent6 10 3 5" xfId="3827"/>
    <cellStyle name="20% - Accent6 10 3 6" xfId="12153"/>
    <cellStyle name="20% - Accent6 10 4" xfId="962"/>
    <cellStyle name="20% - Accent6 10 4 2" xfId="7043"/>
    <cellStyle name="20% - Accent6 10 4 2 2" xfId="15325"/>
    <cellStyle name="20% - Accent6 10 4 3" xfId="9537"/>
    <cellStyle name="20% - Accent6 10 4 3 2" xfId="17815"/>
    <cellStyle name="20% - Accent6 10 4 4" xfId="3829"/>
    <cellStyle name="20% - Accent6 10 4 5" xfId="12155"/>
    <cellStyle name="20% - Accent6 10 5" xfId="963"/>
    <cellStyle name="20% - Accent6 10 5 2" xfId="7044"/>
    <cellStyle name="20% - Accent6 10 5 2 2" xfId="15326"/>
    <cellStyle name="20% - Accent6 10 5 3" xfId="9538"/>
    <cellStyle name="20% - Accent6 10 5 3 2" xfId="17816"/>
    <cellStyle name="20% - Accent6 10 5 4" xfId="3830"/>
    <cellStyle name="20% - Accent6 10 5 5" xfId="12156"/>
    <cellStyle name="20% - Accent6 10 6" xfId="3831"/>
    <cellStyle name="20% - Accent6 10 6 2" xfId="12157"/>
    <cellStyle name="20% - Accent6 10 7" xfId="6037"/>
    <cellStyle name="20% - Accent6 10 7 2" xfId="14319"/>
    <cellStyle name="20% - Accent6 10 8" xfId="7038"/>
    <cellStyle name="20% - Accent6 10 8 2" xfId="15320"/>
    <cellStyle name="20% - Accent6 10 9" xfId="9532"/>
    <cellStyle name="20% - Accent6 10 9 2" xfId="17810"/>
    <cellStyle name="20% - Accent6 11" xfId="964"/>
    <cellStyle name="20% - Accent6 11 10" xfId="12158"/>
    <cellStyle name="20% - Accent6 11 2" xfId="965"/>
    <cellStyle name="20% - Accent6 11 2 2" xfId="966"/>
    <cellStyle name="20% - Accent6 11 2 2 2" xfId="7047"/>
    <cellStyle name="20% - Accent6 11 2 2 2 2" xfId="15329"/>
    <cellStyle name="20% - Accent6 11 2 2 3" xfId="9541"/>
    <cellStyle name="20% - Accent6 11 2 2 3 2" xfId="17819"/>
    <cellStyle name="20% - Accent6 11 2 2 4" xfId="3834"/>
    <cellStyle name="20% - Accent6 11 2 2 5" xfId="12160"/>
    <cellStyle name="20% - Accent6 11 2 3" xfId="7046"/>
    <cellStyle name="20% - Accent6 11 2 3 2" xfId="15328"/>
    <cellStyle name="20% - Accent6 11 2 4" xfId="9540"/>
    <cellStyle name="20% - Accent6 11 2 4 2" xfId="17818"/>
    <cellStyle name="20% - Accent6 11 2 5" xfId="3833"/>
    <cellStyle name="20% - Accent6 11 2 6" xfId="12159"/>
    <cellStyle name="20% - Accent6 11 3" xfId="967"/>
    <cellStyle name="20% - Accent6 11 3 2" xfId="7048"/>
    <cellStyle name="20% - Accent6 11 3 2 2" xfId="15330"/>
    <cellStyle name="20% - Accent6 11 3 3" xfId="9542"/>
    <cellStyle name="20% - Accent6 11 3 3 2" xfId="17820"/>
    <cellStyle name="20% - Accent6 11 3 4" xfId="3835"/>
    <cellStyle name="20% - Accent6 11 3 5" xfId="12161"/>
    <cellStyle name="20% - Accent6 11 4" xfId="968"/>
    <cellStyle name="20% - Accent6 11 4 2" xfId="7049"/>
    <cellStyle name="20% - Accent6 11 4 2 2" xfId="15331"/>
    <cellStyle name="20% - Accent6 11 4 3" xfId="9543"/>
    <cellStyle name="20% - Accent6 11 4 3 2" xfId="17821"/>
    <cellStyle name="20% - Accent6 11 4 4" xfId="3836"/>
    <cellStyle name="20% - Accent6 11 4 5" xfId="12162"/>
    <cellStyle name="20% - Accent6 11 5" xfId="3837"/>
    <cellStyle name="20% - Accent6 11 5 2" xfId="12163"/>
    <cellStyle name="20% - Accent6 11 6" xfId="5716"/>
    <cellStyle name="20% - Accent6 11 6 2" xfId="14002"/>
    <cellStyle name="20% - Accent6 11 7" xfId="7045"/>
    <cellStyle name="20% - Accent6 11 7 2" xfId="15327"/>
    <cellStyle name="20% - Accent6 11 8" xfId="9539"/>
    <cellStyle name="20% - Accent6 11 8 2" xfId="17817"/>
    <cellStyle name="20% - Accent6 11 9" xfId="3832"/>
    <cellStyle name="20% - Accent6 12" xfId="969"/>
    <cellStyle name="20% - Accent6 12 2" xfId="970"/>
    <cellStyle name="20% - Accent6 12 2 2" xfId="7051"/>
    <cellStyle name="20% - Accent6 12 2 2 2" xfId="15333"/>
    <cellStyle name="20% - Accent6 12 2 3" xfId="9545"/>
    <cellStyle name="20% - Accent6 12 2 3 2" xfId="17823"/>
    <cellStyle name="20% - Accent6 12 2 4" xfId="3839"/>
    <cellStyle name="20% - Accent6 12 2 5" xfId="12165"/>
    <cellStyle name="20% - Accent6 12 3" xfId="3840"/>
    <cellStyle name="20% - Accent6 12 3 2" xfId="12166"/>
    <cellStyle name="20% - Accent6 12 4" xfId="6052"/>
    <cellStyle name="20% - Accent6 12 4 2" xfId="14334"/>
    <cellStyle name="20% - Accent6 12 5" xfId="7050"/>
    <cellStyle name="20% - Accent6 12 5 2" xfId="15332"/>
    <cellStyle name="20% - Accent6 12 6" xfId="9544"/>
    <cellStyle name="20% - Accent6 12 6 2" xfId="17822"/>
    <cellStyle name="20% - Accent6 12 7" xfId="3838"/>
    <cellStyle name="20% - Accent6 12 8" xfId="12164"/>
    <cellStyle name="20% - Accent6 13" xfId="971"/>
    <cellStyle name="20% - Accent6 13 2" xfId="972"/>
    <cellStyle name="20% - Accent6 13 2 2" xfId="7053"/>
    <cellStyle name="20% - Accent6 13 2 2 2" xfId="15335"/>
    <cellStyle name="20% - Accent6 13 2 3" xfId="9547"/>
    <cellStyle name="20% - Accent6 13 2 3 2" xfId="17825"/>
    <cellStyle name="20% - Accent6 13 2 4" xfId="3842"/>
    <cellStyle name="20% - Accent6 13 2 5" xfId="12168"/>
    <cellStyle name="20% - Accent6 13 3" xfId="3843"/>
    <cellStyle name="20% - Accent6 13 3 2" xfId="12169"/>
    <cellStyle name="20% - Accent6 13 4" xfId="6066"/>
    <cellStyle name="20% - Accent6 13 4 2" xfId="14348"/>
    <cellStyle name="20% - Accent6 13 5" xfId="7052"/>
    <cellStyle name="20% - Accent6 13 5 2" xfId="15334"/>
    <cellStyle name="20% - Accent6 13 6" xfId="9546"/>
    <cellStyle name="20% - Accent6 13 6 2" xfId="17824"/>
    <cellStyle name="20% - Accent6 13 7" xfId="3841"/>
    <cellStyle name="20% - Accent6 13 8" xfId="12167"/>
    <cellStyle name="20% - Accent6 14" xfId="973"/>
    <cellStyle name="20% - Accent6 14 2" xfId="3845"/>
    <cellStyle name="20% - Accent6 14 2 2" xfId="12171"/>
    <cellStyle name="20% - Accent6 14 3" xfId="6080"/>
    <cellStyle name="20% - Accent6 14 3 2" xfId="14362"/>
    <cellStyle name="20% - Accent6 14 4" xfId="7054"/>
    <cellStyle name="20% - Accent6 14 4 2" xfId="15336"/>
    <cellStyle name="20% - Accent6 14 5" xfId="9548"/>
    <cellStyle name="20% - Accent6 14 5 2" xfId="17826"/>
    <cellStyle name="20% - Accent6 14 6" xfId="3844"/>
    <cellStyle name="20% - Accent6 14 7" xfId="12170"/>
    <cellStyle name="20% - Accent6 15" xfId="974"/>
    <cellStyle name="20% - Accent6 15 2" xfId="7055"/>
    <cellStyle name="20% - Accent6 15 2 2" xfId="15337"/>
    <cellStyle name="20% - Accent6 15 3" xfId="9549"/>
    <cellStyle name="20% - Accent6 15 3 2" xfId="17827"/>
    <cellStyle name="20% - Accent6 15 4" xfId="3846"/>
    <cellStyle name="20% - Accent6 15 5" xfId="12172"/>
    <cellStyle name="20% - Accent6 16" xfId="3847"/>
    <cellStyle name="20% - Accent6 16 2" xfId="12173"/>
    <cellStyle name="20% - Accent6 17" xfId="5633"/>
    <cellStyle name="20% - Accent6 17 2" xfId="13923"/>
    <cellStyle name="20% - Accent6 18" xfId="7037"/>
    <cellStyle name="20% - Accent6 18 2" xfId="15319"/>
    <cellStyle name="20% - Accent6 19" xfId="9531"/>
    <cellStyle name="20% - Accent6 19 2" xfId="17809"/>
    <cellStyle name="20% - Accent6 2" xfId="975"/>
    <cellStyle name="20% - Accent6 2 10" xfId="976"/>
    <cellStyle name="20% - Accent6 2 10 2" xfId="7057"/>
    <cellStyle name="20% - Accent6 2 10 2 2" xfId="15339"/>
    <cellStyle name="20% - Accent6 2 10 3" xfId="9551"/>
    <cellStyle name="20% - Accent6 2 10 3 2" xfId="17829"/>
    <cellStyle name="20% - Accent6 2 10 4" xfId="3849"/>
    <cellStyle name="20% - Accent6 2 10 5" xfId="12175"/>
    <cellStyle name="20% - Accent6 2 11" xfId="977"/>
    <cellStyle name="20% - Accent6 2 11 2" xfId="7058"/>
    <cellStyle name="20% - Accent6 2 11 2 2" xfId="15340"/>
    <cellStyle name="20% - Accent6 2 11 3" xfId="9552"/>
    <cellStyle name="20% - Accent6 2 11 3 2" xfId="17830"/>
    <cellStyle name="20% - Accent6 2 11 4" xfId="3850"/>
    <cellStyle name="20% - Accent6 2 11 5" xfId="12176"/>
    <cellStyle name="20% - Accent6 2 12" xfId="3851"/>
    <cellStyle name="20% - Accent6 2 12 2" xfId="12177"/>
    <cellStyle name="20% - Accent6 2 13" xfId="5643"/>
    <cellStyle name="20% - Accent6 2 13 2" xfId="13932"/>
    <cellStyle name="20% - Accent6 2 14" xfId="7056"/>
    <cellStyle name="20% - Accent6 2 14 2" xfId="15338"/>
    <cellStyle name="20% - Accent6 2 15" xfId="9550"/>
    <cellStyle name="20% - Accent6 2 15 2" xfId="17828"/>
    <cellStyle name="20% - Accent6 2 16" xfId="3848"/>
    <cellStyle name="20% - Accent6 2 17" xfId="12174"/>
    <cellStyle name="20% - Accent6 2 2" xfId="978"/>
    <cellStyle name="20% - Accent6 2 2 10" xfId="5681"/>
    <cellStyle name="20% - Accent6 2 2 10 2" xfId="13967"/>
    <cellStyle name="20% - Accent6 2 2 11" xfId="7059"/>
    <cellStyle name="20% - Accent6 2 2 11 2" xfId="15341"/>
    <cellStyle name="20% - Accent6 2 2 12" xfId="9553"/>
    <cellStyle name="20% - Accent6 2 2 12 2" xfId="17831"/>
    <cellStyle name="20% - Accent6 2 2 13" xfId="3852"/>
    <cellStyle name="20% - Accent6 2 2 14" xfId="12178"/>
    <cellStyle name="20% - Accent6 2 2 2" xfId="979"/>
    <cellStyle name="20% - Accent6 2 2 2 10" xfId="3853"/>
    <cellStyle name="20% - Accent6 2 2 2 11" xfId="12179"/>
    <cellStyle name="20% - Accent6 2 2 2 2" xfId="980"/>
    <cellStyle name="20% - Accent6 2 2 2 2 2" xfId="981"/>
    <cellStyle name="20% - Accent6 2 2 2 2 2 2" xfId="7062"/>
    <cellStyle name="20% - Accent6 2 2 2 2 2 2 2" xfId="15344"/>
    <cellStyle name="20% - Accent6 2 2 2 2 2 3" xfId="9556"/>
    <cellStyle name="20% - Accent6 2 2 2 2 2 3 2" xfId="17834"/>
    <cellStyle name="20% - Accent6 2 2 2 2 2 4" xfId="3855"/>
    <cellStyle name="20% - Accent6 2 2 2 2 2 5" xfId="12181"/>
    <cellStyle name="20% - Accent6 2 2 2 2 3" xfId="7061"/>
    <cellStyle name="20% - Accent6 2 2 2 2 3 2" xfId="15343"/>
    <cellStyle name="20% - Accent6 2 2 2 2 4" xfId="9555"/>
    <cellStyle name="20% - Accent6 2 2 2 2 4 2" xfId="17833"/>
    <cellStyle name="20% - Accent6 2 2 2 2 5" xfId="3854"/>
    <cellStyle name="20% - Accent6 2 2 2 2 6" xfId="12180"/>
    <cellStyle name="20% - Accent6 2 2 2 3" xfId="982"/>
    <cellStyle name="20% - Accent6 2 2 2 3 2" xfId="983"/>
    <cellStyle name="20% - Accent6 2 2 2 3 2 2" xfId="7064"/>
    <cellStyle name="20% - Accent6 2 2 2 3 2 2 2" xfId="15346"/>
    <cellStyle name="20% - Accent6 2 2 2 3 2 3" xfId="9558"/>
    <cellStyle name="20% - Accent6 2 2 2 3 2 3 2" xfId="17836"/>
    <cellStyle name="20% - Accent6 2 2 2 3 2 4" xfId="3857"/>
    <cellStyle name="20% - Accent6 2 2 2 3 2 5" xfId="12183"/>
    <cellStyle name="20% - Accent6 2 2 2 3 3" xfId="7063"/>
    <cellStyle name="20% - Accent6 2 2 2 3 3 2" xfId="15345"/>
    <cellStyle name="20% - Accent6 2 2 2 3 4" xfId="9557"/>
    <cellStyle name="20% - Accent6 2 2 2 3 4 2" xfId="17835"/>
    <cellStyle name="20% - Accent6 2 2 2 3 5" xfId="3856"/>
    <cellStyle name="20% - Accent6 2 2 2 3 6" xfId="12182"/>
    <cellStyle name="20% - Accent6 2 2 2 4" xfId="984"/>
    <cellStyle name="20% - Accent6 2 2 2 4 2" xfId="7065"/>
    <cellStyle name="20% - Accent6 2 2 2 4 2 2" xfId="15347"/>
    <cellStyle name="20% - Accent6 2 2 2 4 3" xfId="9559"/>
    <cellStyle name="20% - Accent6 2 2 2 4 3 2" xfId="17837"/>
    <cellStyle name="20% - Accent6 2 2 2 4 4" xfId="3858"/>
    <cellStyle name="20% - Accent6 2 2 2 4 5" xfId="12184"/>
    <cellStyle name="20% - Accent6 2 2 2 5" xfId="985"/>
    <cellStyle name="20% - Accent6 2 2 2 5 2" xfId="7066"/>
    <cellStyle name="20% - Accent6 2 2 2 5 2 2" xfId="15348"/>
    <cellStyle name="20% - Accent6 2 2 2 5 3" xfId="9560"/>
    <cellStyle name="20% - Accent6 2 2 2 5 3 2" xfId="17838"/>
    <cellStyle name="20% - Accent6 2 2 2 5 4" xfId="3859"/>
    <cellStyle name="20% - Accent6 2 2 2 5 5" xfId="12185"/>
    <cellStyle name="20% - Accent6 2 2 2 6" xfId="3860"/>
    <cellStyle name="20% - Accent6 2 2 2 6 2" xfId="12186"/>
    <cellStyle name="20% - Accent6 2 2 2 7" xfId="5883"/>
    <cellStyle name="20% - Accent6 2 2 2 7 2" xfId="14165"/>
    <cellStyle name="20% - Accent6 2 2 2 8" xfId="7060"/>
    <cellStyle name="20% - Accent6 2 2 2 8 2" xfId="15342"/>
    <cellStyle name="20% - Accent6 2 2 2 9" xfId="9554"/>
    <cellStyle name="20% - Accent6 2 2 2 9 2" xfId="17832"/>
    <cellStyle name="20% - Accent6 2 2 3" xfId="986"/>
    <cellStyle name="20% - Accent6 2 2 3 10" xfId="3861"/>
    <cellStyle name="20% - Accent6 2 2 3 11" xfId="12187"/>
    <cellStyle name="20% - Accent6 2 2 3 2" xfId="987"/>
    <cellStyle name="20% - Accent6 2 2 3 2 2" xfId="988"/>
    <cellStyle name="20% - Accent6 2 2 3 2 2 2" xfId="7069"/>
    <cellStyle name="20% - Accent6 2 2 3 2 2 2 2" xfId="15351"/>
    <cellStyle name="20% - Accent6 2 2 3 2 2 3" xfId="9563"/>
    <cellStyle name="20% - Accent6 2 2 3 2 2 3 2" xfId="17841"/>
    <cellStyle name="20% - Accent6 2 2 3 2 2 4" xfId="3863"/>
    <cellStyle name="20% - Accent6 2 2 3 2 2 5" xfId="12189"/>
    <cellStyle name="20% - Accent6 2 2 3 2 3" xfId="7068"/>
    <cellStyle name="20% - Accent6 2 2 3 2 3 2" xfId="15350"/>
    <cellStyle name="20% - Accent6 2 2 3 2 4" xfId="9562"/>
    <cellStyle name="20% - Accent6 2 2 3 2 4 2" xfId="17840"/>
    <cellStyle name="20% - Accent6 2 2 3 2 5" xfId="3862"/>
    <cellStyle name="20% - Accent6 2 2 3 2 6" xfId="12188"/>
    <cellStyle name="20% - Accent6 2 2 3 3" xfId="989"/>
    <cellStyle name="20% - Accent6 2 2 3 3 2" xfId="990"/>
    <cellStyle name="20% - Accent6 2 2 3 3 2 2" xfId="7071"/>
    <cellStyle name="20% - Accent6 2 2 3 3 2 2 2" xfId="15353"/>
    <cellStyle name="20% - Accent6 2 2 3 3 2 3" xfId="9565"/>
    <cellStyle name="20% - Accent6 2 2 3 3 2 3 2" xfId="17843"/>
    <cellStyle name="20% - Accent6 2 2 3 3 2 4" xfId="3865"/>
    <cellStyle name="20% - Accent6 2 2 3 3 2 5" xfId="12191"/>
    <cellStyle name="20% - Accent6 2 2 3 3 3" xfId="7070"/>
    <cellStyle name="20% - Accent6 2 2 3 3 3 2" xfId="15352"/>
    <cellStyle name="20% - Accent6 2 2 3 3 4" xfId="9564"/>
    <cellStyle name="20% - Accent6 2 2 3 3 4 2" xfId="17842"/>
    <cellStyle name="20% - Accent6 2 2 3 3 5" xfId="3864"/>
    <cellStyle name="20% - Accent6 2 2 3 3 6" xfId="12190"/>
    <cellStyle name="20% - Accent6 2 2 3 4" xfId="991"/>
    <cellStyle name="20% - Accent6 2 2 3 4 2" xfId="7072"/>
    <cellStyle name="20% - Accent6 2 2 3 4 2 2" xfId="15354"/>
    <cellStyle name="20% - Accent6 2 2 3 4 3" xfId="9566"/>
    <cellStyle name="20% - Accent6 2 2 3 4 3 2" xfId="17844"/>
    <cellStyle name="20% - Accent6 2 2 3 4 4" xfId="3866"/>
    <cellStyle name="20% - Accent6 2 2 3 4 5" xfId="12192"/>
    <cellStyle name="20% - Accent6 2 2 3 5" xfId="992"/>
    <cellStyle name="20% - Accent6 2 2 3 5 2" xfId="7073"/>
    <cellStyle name="20% - Accent6 2 2 3 5 2 2" xfId="15355"/>
    <cellStyle name="20% - Accent6 2 2 3 5 3" xfId="9567"/>
    <cellStyle name="20% - Accent6 2 2 3 5 3 2" xfId="17845"/>
    <cellStyle name="20% - Accent6 2 2 3 5 4" xfId="3867"/>
    <cellStyle name="20% - Accent6 2 2 3 5 5" xfId="12193"/>
    <cellStyle name="20% - Accent6 2 2 3 6" xfId="3868"/>
    <cellStyle name="20% - Accent6 2 2 3 6 2" xfId="12194"/>
    <cellStyle name="20% - Accent6 2 2 3 7" xfId="5981"/>
    <cellStyle name="20% - Accent6 2 2 3 7 2" xfId="14263"/>
    <cellStyle name="20% - Accent6 2 2 3 8" xfId="7067"/>
    <cellStyle name="20% - Accent6 2 2 3 8 2" xfId="15349"/>
    <cellStyle name="20% - Accent6 2 2 3 9" xfId="9561"/>
    <cellStyle name="20% - Accent6 2 2 3 9 2" xfId="17839"/>
    <cellStyle name="20% - Accent6 2 2 4" xfId="993"/>
    <cellStyle name="20% - Accent6 2 2 4 10" xfId="12195"/>
    <cellStyle name="20% - Accent6 2 2 4 2" xfId="994"/>
    <cellStyle name="20% - Accent6 2 2 4 2 2" xfId="995"/>
    <cellStyle name="20% - Accent6 2 2 4 2 2 2" xfId="7076"/>
    <cellStyle name="20% - Accent6 2 2 4 2 2 2 2" xfId="15358"/>
    <cellStyle name="20% - Accent6 2 2 4 2 2 3" xfId="9570"/>
    <cellStyle name="20% - Accent6 2 2 4 2 2 3 2" xfId="17848"/>
    <cellStyle name="20% - Accent6 2 2 4 2 2 4" xfId="3871"/>
    <cellStyle name="20% - Accent6 2 2 4 2 2 5" xfId="12197"/>
    <cellStyle name="20% - Accent6 2 2 4 2 3" xfId="7075"/>
    <cellStyle name="20% - Accent6 2 2 4 2 3 2" xfId="15357"/>
    <cellStyle name="20% - Accent6 2 2 4 2 4" xfId="9569"/>
    <cellStyle name="20% - Accent6 2 2 4 2 4 2" xfId="17847"/>
    <cellStyle name="20% - Accent6 2 2 4 2 5" xfId="3870"/>
    <cellStyle name="20% - Accent6 2 2 4 2 6" xfId="12196"/>
    <cellStyle name="20% - Accent6 2 2 4 3" xfId="996"/>
    <cellStyle name="20% - Accent6 2 2 4 3 2" xfId="7077"/>
    <cellStyle name="20% - Accent6 2 2 4 3 2 2" xfId="15359"/>
    <cellStyle name="20% - Accent6 2 2 4 3 3" xfId="9571"/>
    <cellStyle name="20% - Accent6 2 2 4 3 3 2" xfId="17849"/>
    <cellStyle name="20% - Accent6 2 2 4 3 4" xfId="3872"/>
    <cellStyle name="20% - Accent6 2 2 4 3 5" xfId="12198"/>
    <cellStyle name="20% - Accent6 2 2 4 4" xfId="997"/>
    <cellStyle name="20% - Accent6 2 2 4 4 2" xfId="7078"/>
    <cellStyle name="20% - Accent6 2 2 4 4 2 2" xfId="15360"/>
    <cellStyle name="20% - Accent6 2 2 4 4 3" xfId="9572"/>
    <cellStyle name="20% - Accent6 2 2 4 4 3 2" xfId="17850"/>
    <cellStyle name="20% - Accent6 2 2 4 4 4" xfId="3873"/>
    <cellStyle name="20% - Accent6 2 2 4 4 5" xfId="12199"/>
    <cellStyle name="20% - Accent6 2 2 4 5" xfId="3874"/>
    <cellStyle name="20% - Accent6 2 2 4 5 2" xfId="12200"/>
    <cellStyle name="20% - Accent6 2 2 4 6" xfId="5797"/>
    <cellStyle name="20% - Accent6 2 2 4 6 2" xfId="14079"/>
    <cellStyle name="20% - Accent6 2 2 4 7" xfId="7074"/>
    <cellStyle name="20% - Accent6 2 2 4 7 2" xfId="15356"/>
    <cellStyle name="20% - Accent6 2 2 4 8" xfId="9568"/>
    <cellStyle name="20% - Accent6 2 2 4 8 2" xfId="17846"/>
    <cellStyle name="20% - Accent6 2 2 4 9" xfId="3869"/>
    <cellStyle name="20% - Accent6 2 2 5" xfId="998"/>
    <cellStyle name="20% - Accent6 2 2 5 2" xfId="999"/>
    <cellStyle name="20% - Accent6 2 2 5 2 2" xfId="7080"/>
    <cellStyle name="20% - Accent6 2 2 5 2 2 2" xfId="15362"/>
    <cellStyle name="20% - Accent6 2 2 5 2 3" xfId="9574"/>
    <cellStyle name="20% - Accent6 2 2 5 2 3 2" xfId="17852"/>
    <cellStyle name="20% - Accent6 2 2 5 2 4" xfId="3876"/>
    <cellStyle name="20% - Accent6 2 2 5 2 5" xfId="12202"/>
    <cellStyle name="20% - Accent6 2 2 5 3" xfId="7079"/>
    <cellStyle name="20% - Accent6 2 2 5 3 2" xfId="15361"/>
    <cellStyle name="20% - Accent6 2 2 5 4" xfId="9573"/>
    <cellStyle name="20% - Accent6 2 2 5 4 2" xfId="17851"/>
    <cellStyle name="20% - Accent6 2 2 5 5" xfId="3875"/>
    <cellStyle name="20% - Accent6 2 2 5 6" xfId="12201"/>
    <cellStyle name="20% - Accent6 2 2 6" xfId="1000"/>
    <cellStyle name="20% - Accent6 2 2 6 2" xfId="1001"/>
    <cellStyle name="20% - Accent6 2 2 6 2 2" xfId="7082"/>
    <cellStyle name="20% - Accent6 2 2 6 2 2 2" xfId="15364"/>
    <cellStyle name="20% - Accent6 2 2 6 2 3" xfId="9576"/>
    <cellStyle name="20% - Accent6 2 2 6 2 3 2" xfId="17854"/>
    <cellStyle name="20% - Accent6 2 2 6 2 4" xfId="3878"/>
    <cellStyle name="20% - Accent6 2 2 6 2 5" xfId="12204"/>
    <cellStyle name="20% - Accent6 2 2 6 3" xfId="7081"/>
    <cellStyle name="20% - Accent6 2 2 6 3 2" xfId="15363"/>
    <cellStyle name="20% - Accent6 2 2 6 4" xfId="9575"/>
    <cellStyle name="20% - Accent6 2 2 6 4 2" xfId="17853"/>
    <cellStyle name="20% - Accent6 2 2 6 5" xfId="3877"/>
    <cellStyle name="20% - Accent6 2 2 6 6" xfId="12203"/>
    <cellStyle name="20% - Accent6 2 2 7" xfId="1002"/>
    <cellStyle name="20% - Accent6 2 2 7 2" xfId="7083"/>
    <cellStyle name="20% - Accent6 2 2 7 2 2" xfId="15365"/>
    <cellStyle name="20% - Accent6 2 2 7 3" xfId="9577"/>
    <cellStyle name="20% - Accent6 2 2 7 3 2" xfId="17855"/>
    <cellStyle name="20% - Accent6 2 2 7 4" xfId="3879"/>
    <cellStyle name="20% - Accent6 2 2 7 5" xfId="12205"/>
    <cellStyle name="20% - Accent6 2 2 8" xfId="1003"/>
    <cellStyle name="20% - Accent6 2 2 8 2" xfId="7084"/>
    <cellStyle name="20% - Accent6 2 2 8 2 2" xfId="15366"/>
    <cellStyle name="20% - Accent6 2 2 8 3" xfId="9578"/>
    <cellStyle name="20% - Accent6 2 2 8 3 2" xfId="17856"/>
    <cellStyle name="20% - Accent6 2 2 8 4" xfId="3880"/>
    <cellStyle name="20% - Accent6 2 2 8 5" xfId="12206"/>
    <cellStyle name="20% - Accent6 2 2 9" xfId="3881"/>
    <cellStyle name="20% - Accent6 2 2 9 2" xfId="12207"/>
    <cellStyle name="20% - Accent6 2 3" xfId="1004"/>
    <cellStyle name="20% - Accent6 2 3 10" xfId="5709"/>
    <cellStyle name="20% - Accent6 2 3 10 2" xfId="13995"/>
    <cellStyle name="20% - Accent6 2 3 11" xfId="7085"/>
    <cellStyle name="20% - Accent6 2 3 11 2" xfId="15367"/>
    <cellStyle name="20% - Accent6 2 3 12" xfId="9579"/>
    <cellStyle name="20% - Accent6 2 3 12 2" xfId="17857"/>
    <cellStyle name="20% - Accent6 2 3 13" xfId="3882"/>
    <cellStyle name="20% - Accent6 2 3 14" xfId="12208"/>
    <cellStyle name="20% - Accent6 2 3 2" xfId="1005"/>
    <cellStyle name="20% - Accent6 2 3 2 10" xfId="3883"/>
    <cellStyle name="20% - Accent6 2 3 2 11" xfId="12209"/>
    <cellStyle name="20% - Accent6 2 3 2 2" xfId="1006"/>
    <cellStyle name="20% - Accent6 2 3 2 2 2" xfId="1007"/>
    <cellStyle name="20% - Accent6 2 3 2 2 2 2" xfId="7088"/>
    <cellStyle name="20% - Accent6 2 3 2 2 2 2 2" xfId="15370"/>
    <cellStyle name="20% - Accent6 2 3 2 2 2 3" xfId="9582"/>
    <cellStyle name="20% - Accent6 2 3 2 2 2 3 2" xfId="17860"/>
    <cellStyle name="20% - Accent6 2 3 2 2 2 4" xfId="3885"/>
    <cellStyle name="20% - Accent6 2 3 2 2 2 5" xfId="12211"/>
    <cellStyle name="20% - Accent6 2 3 2 2 3" xfId="7087"/>
    <cellStyle name="20% - Accent6 2 3 2 2 3 2" xfId="15369"/>
    <cellStyle name="20% - Accent6 2 3 2 2 4" xfId="9581"/>
    <cellStyle name="20% - Accent6 2 3 2 2 4 2" xfId="17859"/>
    <cellStyle name="20% - Accent6 2 3 2 2 5" xfId="3884"/>
    <cellStyle name="20% - Accent6 2 3 2 2 6" xfId="12210"/>
    <cellStyle name="20% - Accent6 2 3 2 3" xfId="1008"/>
    <cellStyle name="20% - Accent6 2 3 2 3 2" xfId="1009"/>
    <cellStyle name="20% - Accent6 2 3 2 3 2 2" xfId="7090"/>
    <cellStyle name="20% - Accent6 2 3 2 3 2 2 2" xfId="15372"/>
    <cellStyle name="20% - Accent6 2 3 2 3 2 3" xfId="9584"/>
    <cellStyle name="20% - Accent6 2 3 2 3 2 3 2" xfId="17862"/>
    <cellStyle name="20% - Accent6 2 3 2 3 2 4" xfId="3887"/>
    <cellStyle name="20% - Accent6 2 3 2 3 2 5" xfId="12213"/>
    <cellStyle name="20% - Accent6 2 3 2 3 3" xfId="7089"/>
    <cellStyle name="20% - Accent6 2 3 2 3 3 2" xfId="15371"/>
    <cellStyle name="20% - Accent6 2 3 2 3 4" xfId="9583"/>
    <cellStyle name="20% - Accent6 2 3 2 3 4 2" xfId="17861"/>
    <cellStyle name="20% - Accent6 2 3 2 3 5" xfId="3886"/>
    <cellStyle name="20% - Accent6 2 3 2 3 6" xfId="12212"/>
    <cellStyle name="20% - Accent6 2 3 2 4" xfId="1010"/>
    <cellStyle name="20% - Accent6 2 3 2 4 2" xfId="7091"/>
    <cellStyle name="20% - Accent6 2 3 2 4 2 2" xfId="15373"/>
    <cellStyle name="20% - Accent6 2 3 2 4 3" xfId="9585"/>
    <cellStyle name="20% - Accent6 2 3 2 4 3 2" xfId="17863"/>
    <cellStyle name="20% - Accent6 2 3 2 4 4" xfId="3888"/>
    <cellStyle name="20% - Accent6 2 3 2 4 5" xfId="12214"/>
    <cellStyle name="20% - Accent6 2 3 2 5" xfId="1011"/>
    <cellStyle name="20% - Accent6 2 3 2 5 2" xfId="7092"/>
    <cellStyle name="20% - Accent6 2 3 2 5 2 2" xfId="15374"/>
    <cellStyle name="20% - Accent6 2 3 2 5 3" xfId="9586"/>
    <cellStyle name="20% - Accent6 2 3 2 5 3 2" xfId="17864"/>
    <cellStyle name="20% - Accent6 2 3 2 5 4" xfId="3889"/>
    <cellStyle name="20% - Accent6 2 3 2 5 5" xfId="12215"/>
    <cellStyle name="20% - Accent6 2 3 2 6" xfId="3890"/>
    <cellStyle name="20% - Accent6 2 3 2 6 2" xfId="12216"/>
    <cellStyle name="20% - Accent6 2 3 2 7" xfId="5911"/>
    <cellStyle name="20% - Accent6 2 3 2 7 2" xfId="14193"/>
    <cellStyle name="20% - Accent6 2 3 2 8" xfId="7086"/>
    <cellStyle name="20% - Accent6 2 3 2 8 2" xfId="15368"/>
    <cellStyle name="20% - Accent6 2 3 2 9" xfId="9580"/>
    <cellStyle name="20% - Accent6 2 3 2 9 2" xfId="17858"/>
    <cellStyle name="20% - Accent6 2 3 3" xfId="1012"/>
    <cellStyle name="20% - Accent6 2 3 3 10" xfId="3891"/>
    <cellStyle name="20% - Accent6 2 3 3 11" xfId="12217"/>
    <cellStyle name="20% - Accent6 2 3 3 2" xfId="1013"/>
    <cellStyle name="20% - Accent6 2 3 3 2 2" xfId="1014"/>
    <cellStyle name="20% - Accent6 2 3 3 2 2 2" xfId="7095"/>
    <cellStyle name="20% - Accent6 2 3 3 2 2 2 2" xfId="15377"/>
    <cellStyle name="20% - Accent6 2 3 3 2 2 3" xfId="9589"/>
    <cellStyle name="20% - Accent6 2 3 3 2 2 3 2" xfId="17867"/>
    <cellStyle name="20% - Accent6 2 3 3 2 2 4" xfId="3893"/>
    <cellStyle name="20% - Accent6 2 3 3 2 2 5" xfId="12219"/>
    <cellStyle name="20% - Accent6 2 3 3 2 3" xfId="7094"/>
    <cellStyle name="20% - Accent6 2 3 3 2 3 2" xfId="15376"/>
    <cellStyle name="20% - Accent6 2 3 3 2 4" xfId="9588"/>
    <cellStyle name="20% - Accent6 2 3 3 2 4 2" xfId="17866"/>
    <cellStyle name="20% - Accent6 2 3 3 2 5" xfId="3892"/>
    <cellStyle name="20% - Accent6 2 3 3 2 6" xfId="12218"/>
    <cellStyle name="20% - Accent6 2 3 3 3" xfId="1015"/>
    <cellStyle name="20% - Accent6 2 3 3 3 2" xfId="1016"/>
    <cellStyle name="20% - Accent6 2 3 3 3 2 2" xfId="7097"/>
    <cellStyle name="20% - Accent6 2 3 3 3 2 2 2" xfId="15379"/>
    <cellStyle name="20% - Accent6 2 3 3 3 2 3" xfId="9591"/>
    <cellStyle name="20% - Accent6 2 3 3 3 2 3 2" xfId="17869"/>
    <cellStyle name="20% - Accent6 2 3 3 3 2 4" xfId="3895"/>
    <cellStyle name="20% - Accent6 2 3 3 3 2 5" xfId="12221"/>
    <cellStyle name="20% - Accent6 2 3 3 3 3" xfId="7096"/>
    <cellStyle name="20% - Accent6 2 3 3 3 3 2" xfId="15378"/>
    <cellStyle name="20% - Accent6 2 3 3 3 4" xfId="9590"/>
    <cellStyle name="20% - Accent6 2 3 3 3 4 2" xfId="17868"/>
    <cellStyle name="20% - Accent6 2 3 3 3 5" xfId="3894"/>
    <cellStyle name="20% - Accent6 2 3 3 3 6" xfId="12220"/>
    <cellStyle name="20% - Accent6 2 3 3 4" xfId="1017"/>
    <cellStyle name="20% - Accent6 2 3 3 4 2" xfId="7098"/>
    <cellStyle name="20% - Accent6 2 3 3 4 2 2" xfId="15380"/>
    <cellStyle name="20% - Accent6 2 3 3 4 3" xfId="9592"/>
    <cellStyle name="20% - Accent6 2 3 3 4 3 2" xfId="17870"/>
    <cellStyle name="20% - Accent6 2 3 3 4 4" xfId="3896"/>
    <cellStyle name="20% - Accent6 2 3 3 4 5" xfId="12222"/>
    <cellStyle name="20% - Accent6 2 3 3 5" xfId="1018"/>
    <cellStyle name="20% - Accent6 2 3 3 5 2" xfId="7099"/>
    <cellStyle name="20% - Accent6 2 3 3 5 2 2" xfId="15381"/>
    <cellStyle name="20% - Accent6 2 3 3 5 3" xfId="9593"/>
    <cellStyle name="20% - Accent6 2 3 3 5 3 2" xfId="17871"/>
    <cellStyle name="20% - Accent6 2 3 3 5 4" xfId="3897"/>
    <cellStyle name="20% - Accent6 2 3 3 5 5" xfId="12223"/>
    <cellStyle name="20% - Accent6 2 3 3 6" xfId="3898"/>
    <cellStyle name="20% - Accent6 2 3 3 6 2" xfId="12224"/>
    <cellStyle name="20% - Accent6 2 3 3 7" xfId="6009"/>
    <cellStyle name="20% - Accent6 2 3 3 7 2" xfId="14291"/>
    <cellStyle name="20% - Accent6 2 3 3 8" xfId="7093"/>
    <cellStyle name="20% - Accent6 2 3 3 8 2" xfId="15375"/>
    <cellStyle name="20% - Accent6 2 3 3 9" xfId="9587"/>
    <cellStyle name="20% - Accent6 2 3 3 9 2" xfId="17865"/>
    <cellStyle name="20% - Accent6 2 3 4" xfId="1019"/>
    <cellStyle name="20% - Accent6 2 3 4 10" xfId="12225"/>
    <cellStyle name="20% - Accent6 2 3 4 2" xfId="1020"/>
    <cellStyle name="20% - Accent6 2 3 4 2 2" xfId="1021"/>
    <cellStyle name="20% - Accent6 2 3 4 2 2 2" xfId="7102"/>
    <cellStyle name="20% - Accent6 2 3 4 2 2 2 2" xfId="15384"/>
    <cellStyle name="20% - Accent6 2 3 4 2 2 3" xfId="9596"/>
    <cellStyle name="20% - Accent6 2 3 4 2 2 3 2" xfId="17874"/>
    <cellStyle name="20% - Accent6 2 3 4 2 2 4" xfId="3901"/>
    <cellStyle name="20% - Accent6 2 3 4 2 2 5" xfId="12227"/>
    <cellStyle name="20% - Accent6 2 3 4 2 3" xfId="7101"/>
    <cellStyle name="20% - Accent6 2 3 4 2 3 2" xfId="15383"/>
    <cellStyle name="20% - Accent6 2 3 4 2 4" xfId="9595"/>
    <cellStyle name="20% - Accent6 2 3 4 2 4 2" xfId="17873"/>
    <cellStyle name="20% - Accent6 2 3 4 2 5" xfId="3900"/>
    <cellStyle name="20% - Accent6 2 3 4 2 6" xfId="12226"/>
    <cellStyle name="20% - Accent6 2 3 4 3" xfId="1022"/>
    <cellStyle name="20% - Accent6 2 3 4 3 2" xfId="7103"/>
    <cellStyle name="20% - Accent6 2 3 4 3 2 2" xfId="15385"/>
    <cellStyle name="20% - Accent6 2 3 4 3 3" xfId="9597"/>
    <cellStyle name="20% - Accent6 2 3 4 3 3 2" xfId="17875"/>
    <cellStyle name="20% - Accent6 2 3 4 3 4" xfId="3902"/>
    <cellStyle name="20% - Accent6 2 3 4 3 5" xfId="12228"/>
    <cellStyle name="20% - Accent6 2 3 4 4" xfId="1023"/>
    <cellStyle name="20% - Accent6 2 3 4 4 2" xfId="7104"/>
    <cellStyle name="20% - Accent6 2 3 4 4 2 2" xfId="15386"/>
    <cellStyle name="20% - Accent6 2 3 4 4 3" xfId="9598"/>
    <cellStyle name="20% - Accent6 2 3 4 4 3 2" xfId="17876"/>
    <cellStyle name="20% - Accent6 2 3 4 4 4" xfId="3903"/>
    <cellStyle name="20% - Accent6 2 3 4 4 5" xfId="12229"/>
    <cellStyle name="20% - Accent6 2 3 4 5" xfId="3904"/>
    <cellStyle name="20% - Accent6 2 3 4 5 2" xfId="12230"/>
    <cellStyle name="20% - Accent6 2 3 4 6" xfId="5825"/>
    <cellStyle name="20% - Accent6 2 3 4 6 2" xfId="14107"/>
    <cellStyle name="20% - Accent6 2 3 4 7" xfId="7100"/>
    <cellStyle name="20% - Accent6 2 3 4 7 2" xfId="15382"/>
    <cellStyle name="20% - Accent6 2 3 4 8" xfId="9594"/>
    <cellStyle name="20% - Accent6 2 3 4 8 2" xfId="17872"/>
    <cellStyle name="20% - Accent6 2 3 4 9" xfId="3899"/>
    <cellStyle name="20% - Accent6 2 3 5" xfId="1024"/>
    <cellStyle name="20% - Accent6 2 3 5 2" xfId="1025"/>
    <cellStyle name="20% - Accent6 2 3 5 2 2" xfId="7106"/>
    <cellStyle name="20% - Accent6 2 3 5 2 2 2" xfId="15388"/>
    <cellStyle name="20% - Accent6 2 3 5 2 3" xfId="9600"/>
    <cellStyle name="20% - Accent6 2 3 5 2 3 2" xfId="17878"/>
    <cellStyle name="20% - Accent6 2 3 5 2 4" xfId="3906"/>
    <cellStyle name="20% - Accent6 2 3 5 2 5" xfId="12232"/>
    <cellStyle name="20% - Accent6 2 3 5 3" xfId="7105"/>
    <cellStyle name="20% - Accent6 2 3 5 3 2" xfId="15387"/>
    <cellStyle name="20% - Accent6 2 3 5 4" xfId="9599"/>
    <cellStyle name="20% - Accent6 2 3 5 4 2" xfId="17877"/>
    <cellStyle name="20% - Accent6 2 3 5 5" xfId="3905"/>
    <cellStyle name="20% - Accent6 2 3 5 6" xfId="12231"/>
    <cellStyle name="20% - Accent6 2 3 6" xfId="1026"/>
    <cellStyle name="20% - Accent6 2 3 6 2" xfId="1027"/>
    <cellStyle name="20% - Accent6 2 3 6 2 2" xfId="7108"/>
    <cellStyle name="20% - Accent6 2 3 6 2 2 2" xfId="15390"/>
    <cellStyle name="20% - Accent6 2 3 6 2 3" xfId="9602"/>
    <cellStyle name="20% - Accent6 2 3 6 2 3 2" xfId="17880"/>
    <cellStyle name="20% - Accent6 2 3 6 2 4" xfId="3908"/>
    <cellStyle name="20% - Accent6 2 3 6 2 5" xfId="12234"/>
    <cellStyle name="20% - Accent6 2 3 6 3" xfId="7107"/>
    <cellStyle name="20% - Accent6 2 3 6 3 2" xfId="15389"/>
    <cellStyle name="20% - Accent6 2 3 6 4" xfId="9601"/>
    <cellStyle name="20% - Accent6 2 3 6 4 2" xfId="17879"/>
    <cellStyle name="20% - Accent6 2 3 6 5" xfId="3907"/>
    <cellStyle name="20% - Accent6 2 3 6 6" xfId="12233"/>
    <cellStyle name="20% - Accent6 2 3 7" xfId="1028"/>
    <cellStyle name="20% - Accent6 2 3 7 2" xfId="7109"/>
    <cellStyle name="20% - Accent6 2 3 7 2 2" xfId="15391"/>
    <cellStyle name="20% - Accent6 2 3 7 3" xfId="9603"/>
    <cellStyle name="20% - Accent6 2 3 7 3 2" xfId="17881"/>
    <cellStyle name="20% - Accent6 2 3 7 4" xfId="3909"/>
    <cellStyle name="20% - Accent6 2 3 7 5" xfId="12235"/>
    <cellStyle name="20% - Accent6 2 3 8" xfId="1029"/>
    <cellStyle name="20% - Accent6 2 3 8 2" xfId="7110"/>
    <cellStyle name="20% - Accent6 2 3 8 2 2" xfId="15392"/>
    <cellStyle name="20% - Accent6 2 3 8 3" xfId="9604"/>
    <cellStyle name="20% - Accent6 2 3 8 3 2" xfId="17882"/>
    <cellStyle name="20% - Accent6 2 3 8 4" xfId="3910"/>
    <cellStyle name="20% - Accent6 2 3 8 5" xfId="12236"/>
    <cellStyle name="20% - Accent6 2 3 9" xfId="3911"/>
    <cellStyle name="20% - Accent6 2 3 9 2" xfId="12237"/>
    <cellStyle name="20% - Accent6 2 4" xfId="1030"/>
    <cellStyle name="20% - Accent6 2 4 10" xfId="3912"/>
    <cellStyle name="20% - Accent6 2 4 11" xfId="12238"/>
    <cellStyle name="20% - Accent6 2 4 2" xfId="1031"/>
    <cellStyle name="20% - Accent6 2 4 2 2" xfId="1032"/>
    <cellStyle name="20% - Accent6 2 4 2 2 2" xfId="7113"/>
    <cellStyle name="20% - Accent6 2 4 2 2 2 2" xfId="15395"/>
    <cellStyle name="20% - Accent6 2 4 2 2 3" xfId="9607"/>
    <cellStyle name="20% - Accent6 2 4 2 2 3 2" xfId="17885"/>
    <cellStyle name="20% - Accent6 2 4 2 2 4" xfId="3914"/>
    <cellStyle name="20% - Accent6 2 4 2 2 5" xfId="12240"/>
    <cellStyle name="20% - Accent6 2 4 2 3" xfId="7112"/>
    <cellStyle name="20% - Accent6 2 4 2 3 2" xfId="15394"/>
    <cellStyle name="20% - Accent6 2 4 2 4" xfId="9606"/>
    <cellStyle name="20% - Accent6 2 4 2 4 2" xfId="17884"/>
    <cellStyle name="20% - Accent6 2 4 2 5" xfId="3913"/>
    <cellStyle name="20% - Accent6 2 4 2 6" xfId="12239"/>
    <cellStyle name="20% - Accent6 2 4 3" xfId="1033"/>
    <cellStyle name="20% - Accent6 2 4 3 2" xfId="1034"/>
    <cellStyle name="20% - Accent6 2 4 3 2 2" xfId="7115"/>
    <cellStyle name="20% - Accent6 2 4 3 2 2 2" xfId="15397"/>
    <cellStyle name="20% - Accent6 2 4 3 2 3" xfId="9609"/>
    <cellStyle name="20% - Accent6 2 4 3 2 3 2" xfId="17887"/>
    <cellStyle name="20% - Accent6 2 4 3 2 4" xfId="3916"/>
    <cellStyle name="20% - Accent6 2 4 3 2 5" xfId="12242"/>
    <cellStyle name="20% - Accent6 2 4 3 3" xfId="7114"/>
    <cellStyle name="20% - Accent6 2 4 3 3 2" xfId="15396"/>
    <cellStyle name="20% - Accent6 2 4 3 4" xfId="9608"/>
    <cellStyle name="20% - Accent6 2 4 3 4 2" xfId="17886"/>
    <cellStyle name="20% - Accent6 2 4 3 5" xfId="3915"/>
    <cellStyle name="20% - Accent6 2 4 3 6" xfId="12241"/>
    <cellStyle name="20% - Accent6 2 4 4" xfId="1035"/>
    <cellStyle name="20% - Accent6 2 4 4 2" xfId="7116"/>
    <cellStyle name="20% - Accent6 2 4 4 2 2" xfId="15398"/>
    <cellStyle name="20% - Accent6 2 4 4 3" xfId="9610"/>
    <cellStyle name="20% - Accent6 2 4 4 3 2" xfId="17888"/>
    <cellStyle name="20% - Accent6 2 4 4 4" xfId="3917"/>
    <cellStyle name="20% - Accent6 2 4 4 5" xfId="12243"/>
    <cellStyle name="20% - Accent6 2 4 5" xfId="1036"/>
    <cellStyle name="20% - Accent6 2 4 5 2" xfId="7117"/>
    <cellStyle name="20% - Accent6 2 4 5 2 2" xfId="15399"/>
    <cellStyle name="20% - Accent6 2 4 5 3" xfId="9611"/>
    <cellStyle name="20% - Accent6 2 4 5 3 2" xfId="17889"/>
    <cellStyle name="20% - Accent6 2 4 5 4" xfId="3918"/>
    <cellStyle name="20% - Accent6 2 4 5 5" xfId="12244"/>
    <cellStyle name="20% - Accent6 2 4 6" xfId="3919"/>
    <cellStyle name="20% - Accent6 2 4 6 2" xfId="12245"/>
    <cellStyle name="20% - Accent6 2 4 7" xfId="5760"/>
    <cellStyle name="20% - Accent6 2 4 7 2" xfId="14044"/>
    <cellStyle name="20% - Accent6 2 4 8" xfId="7111"/>
    <cellStyle name="20% - Accent6 2 4 8 2" xfId="15393"/>
    <cellStyle name="20% - Accent6 2 4 9" xfId="9605"/>
    <cellStyle name="20% - Accent6 2 4 9 2" xfId="17883"/>
    <cellStyle name="20% - Accent6 2 5" xfId="1037"/>
    <cellStyle name="20% - Accent6 2 5 10" xfId="3920"/>
    <cellStyle name="20% - Accent6 2 5 11" xfId="12246"/>
    <cellStyle name="20% - Accent6 2 5 2" xfId="1038"/>
    <cellStyle name="20% - Accent6 2 5 2 2" xfId="1039"/>
    <cellStyle name="20% - Accent6 2 5 2 2 2" xfId="7120"/>
    <cellStyle name="20% - Accent6 2 5 2 2 2 2" xfId="15402"/>
    <cellStyle name="20% - Accent6 2 5 2 2 3" xfId="9614"/>
    <cellStyle name="20% - Accent6 2 5 2 2 3 2" xfId="17892"/>
    <cellStyle name="20% - Accent6 2 5 2 2 4" xfId="3922"/>
    <cellStyle name="20% - Accent6 2 5 2 2 5" xfId="12248"/>
    <cellStyle name="20% - Accent6 2 5 2 3" xfId="7119"/>
    <cellStyle name="20% - Accent6 2 5 2 3 2" xfId="15401"/>
    <cellStyle name="20% - Accent6 2 5 2 4" xfId="9613"/>
    <cellStyle name="20% - Accent6 2 5 2 4 2" xfId="17891"/>
    <cellStyle name="20% - Accent6 2 5 2 5" xfId="3921"/>
    <cellStyle name="20% - Accent6 2 5 2 6" xfId="12247"/>
    <cellStyle name="20% - Accent6 2 5 3" xfId="1040"/>
    <cellStyle name="20% - Accent6 2 5 3 2" xfId="1041"/>
    <cellStyle name="20% - Accent6 2 5 3 2 2" xfId="7122"/>
    <cellStyle name="20% - Accent6 2 5 3 2 2 2" xfId="15404"/>
    <cellStyle name="20% - Accent6 2 5 3 2 3" xfId="9616"/>
    <cellStyle name="20% - Accent6 2 5 3 2 3 2" xfId="17894"/>
    <cellStyle name="20% - Accent6 2 5 3 2 4" xfId="3924"/>
    <cellStyle name="20% - Accent6 2 5 3 2 5" xfId="12250"/>
    <cellStyle name="20% - Accent6 2 5 3 3" xfId="7121"/>
    <cellStyle name="20% - Accent6 2 5 3 3 2" xfId="15403"/>
    <cellStyle name="20% - Accent6 2 5 3 4" xfId="9615"/>
    <cellStyle name="20% - Accent6 2 5 3 4 2" xfId="17893"/>
    <cellStyle name="20% - Accent6 2 5 3 5" xfId="3923"/>
    <cellStyle name="20% - Accent6 2 5 3 6" xfId="12249"/>
    <cellStyle name="20% - Accent6 2 5 4" xfId="1042"/>
    <cellStyle name="20% - Accent6 2 5 4 2" xfId="7123"/>
    <cellStyle name="20% - Accent6 2 5 4 2 2" xfId="15405"/>
    <cellStyle name="20% - Accent6 2 5 4 3" xfId="9617"/>
    <cellStyle name="20% - Accent6 2 5 4 3 2" xfId="17895"/>
    <cellStyle name="20% - Accent6 2 5 4 4" xfId="3925"/>
    <cellStyle name="20% - Accent6 2 5 4 5" xfId="12251"/>
    <cellStyle name="20% - Accent6 2 5 5" xfId="1043"/>
    <cellStyle name="20% - Accent6 2 5 5 2" xfId="7124"/>
    <cellStyle name="20% - Accent6 2 5 5 2 2" xfId="15406"/>
    <cellStyle name="20% - Accent6 2 5 5 3" xfId="9618"/>
    <cellStyle name="20% - Accent6 2 5 5 3 2" xfId="17896"/>
    <cellStyle name="20% - Accent6 2 5 5 4" xfId="3926"/>
    <cellStyle name="20% - Accent6 2 5 5 5" xfId="12252"/>
    <cellStyle name="20% - Accent6 2 5 6" xfId="3927"/>
    <cellStyle name="20% - Accent6 2 5 6 2" xfId="12253"/>
    <cellStyle name="20% - Accent6 2 5 7" xfId="5848"/>
    <cellStyle name="20% - Accent6 2 5 7 2" xfId="14130"/>
    <cellStyle name="20% - Accent6 2 5 8" xfId="7118"/>
    <cellStyle name="20% - Accent6 2 5 8 2" xfId="15400"/>
    <cellStyle name="20% - Accent6 2 5 9" xfId="9612"/>
    <cellStyle name="20% - Accent6 2 5 9 2" xfId="17890"/>
    <cellStyle name="20% - Accent6 2 6" xfId="1044"/>
    <cellStyle name="20% - Accent6 2 6 10" xfId="3928"/>
    <cellStyle name="20% - Accent6 2 6 11" xfId="12254"/>
    <cellStyle name="20% - Accent6 2 6 2" xfId="1045"/>
    <cellStyle name="20% - Accent6 2 6 2 2" xfId="1046"/>
    <cellStyle name="20% - Accent6 2 6 2 2 2" xfId="7127"/>
    <cellStyle name="20% - Accent6 2 6 2 2 2 2" xfId="15409"/>
    <cellStyle name="20% - Accent6 2 6 2 2 3" xfId="9621"/>
    <cellStyle name="20% - Accent6 2 6 2 2 3 2" xfId="17899"/>
    <cellStyle name="20% - Accent6 2 6 2 2 4" xfId="3930"/>
    <cellStyle name="20% - Accent6 2 6 2 2 5" xfId="12256"/>
    <cellStyle name="20% - Accent6 2 6 2 3" xfId="7126"/>
    <cellStyle name="20% - Accent6 2 6 2 3 2" xfId="15408"/>
    <cellStyle name="20% - Accent6 2 6 2 4" xfId="9620"/>
    <cellStyle name="20% - Accent6 2 6 2 4 2" xfId="17898"/>
    <cellStyle name="20% - Accent6 2 6 2 5" xfId="3929"/>
    <cellStyle name="20% - Accent6 2 6 2 6" xfId="12255"/>
    <cellStyle name="20% - Accent6 2 6 3" xfId="1047"/>
    <cellStyle name="20% - Accent6 2 6 3 2" xfId="1048"/>
    <cellStyle name="20% - Accent6 2 6 3 2 2" xfId="7129"/>
    <cellStyle name="20% - Accent6 2 6 3 2 2 2" xfId="15411"/>
    <cellStyle name="20% - Accent6 2 6 3 2 3" xfId="9623"/>
    <cellStyle name="20% - Accent6 2 6 3 2 3 2" xfId="17901"/>
    <cellStyle name="20% - Accent6 2 6 3 2 4" xfId="3932"/>
    <cellStyle name="20% - Accent6 2 6 3 2 5" xfId="12258"/>
    <cellStyle name="20% - Accent6 2 6 3 3" xfId="7128"/>
    <cellStyle name="20% - Accent6 2 6 3 3 2" xfId="15410"/>
    <cellStyle name="20% - Accent6 2 6 3 4" xfId="9622"/>
    <cellStyle name="20% - Accent6 2 6 3 4 2" xfId="17900"/>
    <cellStyle name="20% - Accent6 2 6 3 5" xfId="3931"/>
    <cellStyle name="20% - Accent6 2 6 3 6" xfId="12257"/>
    <cellStyle name="20% - Accent6 2 6 4" xfId="1049"/>
    <cellStyle name="20% - Accent6 2 6 4 2" xfId="7130"/>
    <cellStyle name="20% - Accent6 2 6 4 2 2" xfId="15412"/>
    <cellStyle name="20% - Accent6 2 6 4 3" xfId="9624"/>
    <cellStyle name="20% - Accent6 2 6 4 3 2" xfId="17902"/>
    <cellStyle name="20% - Accent6 2 6 4 4" xfId="3933"/>
    <cellStyle name="20% - Accent6 2 6 4 5" xfId="12259"/>
    <cellStyle name="20% - Accent6 2 6 5" xfId="1050"/>
    <cellStyle name="20% - Accent6 2 6 5 2" xfId="7131"/>
    <cellStyle name="20% - Accent6 2 6 5 2 2" xfId="15413"/>
    <cellStyle name="20% - Accent6 2 6 5 3" xfId="9625"/>
    <cellStyle name="20% - Accent6 2 6 5 3 2" xfId="17903"/>
    <cellStyle name="20% - Accent6 2 6 5 4" xfId="3934"/>
    <cellStyle name="20% - Accent6 2 6 5 5" xfId="12260"/>
    <cellStyle name="20% - Accent6 2 6 6" xfId="3935"/>
    <cellStyle name="20% - Accent6 2 6 6 2" xfId="12261"/>
    <cellStyle name="20% - Accent6 2 6 7" xfId="5946"/>
    <cellStyle name="20% - Accent6 2 6 7 2" xfId="14228"/>
    <cellStyle name="20% - Accent6 2 6 8" xfId="7125"/>
    <cellStyle name="20% - Accent6 2 6 8 2" xfId="15407"/>
    <cellStyle name="20% - Accent6 2 6 9" xfId="9619"/>
    <cellStyle name="20% - Accent6 2 6 9 2" xfId="17897"/>
    <cellStyle name="20% - Accent6 2 7" xfId="1051"/>
    <cellStyle name="20% - Accent6 2 7 10" xfId="12262"/>
    <cellStyle name="20% - Accent6 2 7 2" xfId="1052"/>
    <cellStyle name="20% - Accent6 2 7 2 2" xfId="1053"/>
    <cellStyle name="20% - Accent6 2 7 2 2 2" xfId="7134"/>
    <cellStyle name="20% - Accent6 2 7 2 2 2 2" xfId="15416"/>
    <cellStyle name="20% - Accent6 2 7 2 2 3" xfId="9628"/>
    <cellStyle name="20% - Accent6 2 7 2 2 3 2" xfId="17906"/>
    <cellStyle name="20% - Accent6 2 7 2 2 4" xfId="3938"/>
    <cellStyle name="20% - Accent6 2 7 2 2 5" xfId="12264"/>
    <cellStyle name="20% - Accent6 2 7 2 3" xfId="7133"/>
    <cellStyle name="20% - Accent6 2 7 2 3 2" xfId="15415"/>
    <cellStyle name="20% - Accent6 2 7 2 4" xfId="9627"/>
    <cellStyle name="20% - Accent6 2 7 2 4 2" xfId="17905"/>
    <cellStyle name="20% - Accent6 2 7 2 5" xfId="3937"/>
    <cellStyle name="20% - Accent6 2 7 2 6" xfId="12263"/>
    <cellStyle name="20% - Accent6 2 7 3" xfId="1054"/>
    <cellStyle name="20% - Accent6 2 7 3 2" xfId="7135"/>
    <cellStyle name="20% - Accent6 2 7 3 2 2" xfId="15417"/>
    <cellStyle name="20% - Accent6 2 7 3 3" xfId="9629"/>
    <cellStyle name="20% - Accent6 2 7 3 3 2" xfId="17907"/>
    <cellStyle name="20% - Accent6 2 7 3 4" xfId="3939"/>
    <cellStyle name="20% - Accent6 2 7 3 5" xfId="12265"/>
    <cellStyle name="20% - Accent6 2 7 4" xfId="1055"/>
    <cellStyle name="20% - Accent6 2 7 4 2" xfId="7136"/>
    <cellStyle name="20% - Accent6 2 7 4 2 2" xfId="15418"/>
    <cellStyle name="20% - Accent6 2 7 4 3" xfId="9630"/>
    <cellStyle name="20% - Accent6 2 7 4 3 2" xfId="17908"/>
    <cellStyle name="20% - Accent6 2 7 4 4" xfId="3940"/>
    <cellStyle name="20% - Accent6 2 7 4 5" xfId="12266"/>
    <cellStyle name="20% - Accent6 2 7 5" xfId="3941"/>
    <cellStyle name="20% - Accent6 2 7 5 2" xfId="12267"/>
    <cellStyle name="20% - Accent6 2 7 6" xfId="5737"/>
    <cellStyle name="20% - Accent6 2 7 6 2" xfId="14023"/>
    <cellStyle name="20% - Accent6 2 7 7" xfId="7132"/>
    <cellStyle name="20% - Accent6 2 7 7 2" xfId="15414"/>
    <cellStyle name="20% - Accent6 2 7 8" xfId="9626"/>
    <cellStyle name="20% - Accent6 2 7 8 2" xfId="17904"/>
    <cellStyle name="20% - Accent6 2 7 9" xfId="3936"/>
    <cellStyle name="20% - Accent6 2 8" xfId="1056"/>
    <cellStyle name="20% - Accent6 2 8 2" xfId="1057"/>
    <cellStyle name="20% - Accent6 2 8 2 2" xfId="7138"/>
    <cellStyle name="20% - Accent6 2 8 2 2 2" xfId="15420"/>
    <cellStyle name="20% - Accent6 2 8 2 3" xfId="9632"/>
    <cellStyle name="20% - Accent6 2 8 2 3 2" xfId="17910"/>
    <cellStyle name="20% - Accent6 2 8 2 4" xfId="3943"/>
    <cellStyle name="20% - Accent6 2 8 2 5" xfId="12269"/>
    <cellStyle name="20% - Accent6 2 8 3" xfId="7137"/>
    <cellStyle name="20% - Accent6 2 8 3 2" xfId="15419"/>
    <cellStyle name="20% - Accent6 2 8 4" xfId="9631"/>
    <cellStyle name="20% - Accent6 2 8 4 2" xfId="17909"/>
    <cellStyle name="20% - Accent6 2 8 5" xfId="3942"/>
    <cellStyle name="20% - Accent6 2 8 6" xfId="12268"/>
    <cellStyle name="20% - Accent6 2 9" xfId="1058"/>
    <cellStyle name="20% - Accent6 2 9 2" xfId="1059"/>
    <cellStyle name="20% - Accent6 2 9 2 2" xfId="7140"/>
    <cellStyle name="20% - Accent6 2 9 2 2 2" xfId="15422"/>
    <cellStyle name="20% - Accent6 2 9 2 3" xfId="9634"/>
    <cellStyle name="20% - Accent6 2 9 2 3 2" xfId="17912"/>
    <cellStyle name="20% - Accent6 2 9 2 4" xfId="3945"/>
    <cellStyle name="20% - Accent6 2 9 2 5" xfId="12271"/>
    <cellStyle name="20% - Accent6 2 9 3" xfId="7139"/>
    <cellStyle name="20% - Accent6 2 9 3 2" xfId="15421"/>
    <cellStyle name="20% - Accent6 2 9 4" xfId="9633"/>
    <cellStyle name="20% - Accent6 2 9 4 2" xfId="17911"/>
    <cellStyle name="20% - Accent6 2 9 5" xfId="3944"/>
    <cellStyle name="20% - Accent6 2 9 6" xfId="12270"/>
    <cellStyle name="20% - Accent6 20" xfId="3823"/>
    <cellStyle name="20% - Accent6 21" xfId="12149"/>
    <cellStyle name="20% - Accent6 22" xfId="19357"/>
    <cellStyle name="20% - Accent6 3" xfId="1060"/>
    <cellStyle name="20% - Accent6 3 10" xfId="5659"/>
    <cellStyle name="20% - Accent6 3 10 2" xfId="13946"/>
    <cellStyle name="20% - Accent6 3 11" xfId="7141"/>
    <cellStyle name="20% - Accent6 3 11 2" xfId="15423"/>
    <cellStyle name="20% - Accent6 3 12" xfId="9635"/>
    <cellStyle name="20% - Accent6 3 12 2" xfId="17913"/>
    <cellStyle name="20% - Accent6 3 13" xfId="3946"/>
    <cellStyle name="20% - Accent6 3 14" xfId="12272"/>
    <cellStyle name="20% - Accent6 3 2" xfId="1061"/>
    <cellStyle name="20% - Accent6 3 2 10" xfId="3947"/>
    <cellStyle name="20% - Accent6 3 2 11" xfId="12273"/>
    <cellStyle name="20% - Accent6 3 2 2" xfId="1062"/>
    <cellStyle name="20% - Accent6 3 2 2 2" xfId="1063"/>
    <cellStyle name="20% - Accent6 3 2 2 2 2" xfId="7144"/>
    <cellStyle name="20% - Accent6 3 2 2 2 2 2" xfId="15426"/>
    <cellStyle name="20% - Accent6 3 2 2 2 3" xfId="9638"/>
    <cellStyle name="20% - Accent6 3 2 2 2 3 2" xfId="17916"/>
    <cellStyle name="20% - Accent6 3 2 2 2 4" xfId="3949"/>
    <cellStyle name="20% - Accent6 3 2 2 2 5" xfId="12275"/>
    <cellStyle name="20% - Accent6 3 2 2 3" xfId="7143"/>
    <cellStyle name="20% - Accent6 3 2 2 3 2" xfId="15425"/>
    <cellStyle name="20% - Accent6 3 2 2 4" xfId="9637"/>
    <cellStyle name="20% - Accent6 3 2 2 4 2" xfId="17915"/>
    <cellStyle name="20% - Accent6 3 2 2 5" xfId="3948"/>
    <cellStyle name="20% - Accent6 3 2 2 6" xfId="12274"/>
    <cellStyle name="20% - Accent6 3 2 3" xfId="1064"/>
    <cellStyle name="20% - Accent6 3 2 3 2" xfId="1065"/>
    <cellStyle name="20% - Accent6 3 2 3 2 2" xfId="7146"/>
    <cellStyle name="20% - Accent6 3 2 3 2 2 2" xfId="15428"/>
    <cellStyle name="20% - Accent6 3 2 3 2 3" xfId="9640"/>
    <cellStyle name="20% - Accent6 3 2 3 2 3 2" xfId="17918"/>
    <cellStyle name="20% - Accent6 3 2 3 2 4" xfId="3951"/>
    <cellStyle name="20% - Accent6 3 2 3 2 5" xfId="12277"/>
    <cellStyle name="20% - Accent6 3 2 3 3" xfId="7145"/>
    <cellStyle name="20% - Accent6 3 2 3 3 2" xfId="15427"/>
    <cellStyle name="20% - Accent6 3 2 3 4" xfId="9639"/>
    <cellStyle name="20% - Accent6 3 2 3 4 2" xfId="17917"/>
    <cellStyle name="20% - Accent6 3 2 3 5" xfId="3950"/>
    <cellStyle name="20% - Accent6 3 2 3 6" xfId="12276"/>
    <cellStyle name="20% - Accent6 3 2 4" xfId="1066"/>
    <cellStyle name="20% - Accent6 3 2 4 2" xfId="7147"/>
    <cellStyle name="20% - Accent6 3 2 4 2 2" xfId="15429"/>
    <cellStyle name="20% - Accent6 3 2 4 3" xfId="9641"/>
    <cellStyle name="20% - Accent6 3 2 4 3 2" xfId="17919"/>
    <cellStyle name="20% - Accent6 3 2 4 4" xfId="3952"/>
    <cellStyle name="20% - Accent6 3 2 4 5" xfId="12278"/>
    <cellStyle name="20% - Accent6 3 2 5" xfId="1067"/>
    <cellStyle name="20% - Accent6 3 2 5 2" xfId="7148"/>
    <cellStyle name="20% - Accent6 3 2 5 2 2" xfId="15430"/>
    <cellStyle name="20% - Accent6 3 2 5 3" xfId="9642"/>
    <cellStyle name="20% - Accent6 3 2 5 3 2" xfId="17920"/>
    <cellStyle name="20% - Accent6 3 2 5 4" xfId="3953"/>
    <cellStyle name="20% - Accent6 3 2 5 5" xfId="12279"/>
    <cellStyle name="20% - Accent6 3 2 6" xfId="3954"/>
    <cellStyle name="20% - Accent6 3 2 6 2" xfId="12280"/>
    <cellStyle name="20% - Accent6 3 2 7" xfId="5862"/>
    <cellStyle name="20% - Accent6 3 2 7 2" xfId="14144"/>
    <cellStyle name="20% - Accent6 3 2 8" xfId="7142"/>
    <cellStyle name="20% - Accent6 3 2 8 2" xfId="15424"/>
    <cellStyle name="20% - Accent6 3 2 9" xfId="9636"/>
    <cellStyle name="20% - Accent6 3 2 9 2" xfId="17914"/>
    <cellStyle name="20% - Accent6 3 3" xfId="1068"/>
    <cellStyle name="20% - Accent6 3 3 10" xfId="3955"/>
    <cellStyle name="20% - Accent6 3 3 11" xfId="12281"/>
    <cellStyle name="20% - Accent6 3 3 2" xfId="1069"/>
    <cellStyle name="20% - Accent6 3 3 2 2" xfId="1070"/>
    <cellStyle name="20% - Accent6 3 3 2 2 2" xfId="7151"/>
    <cellStyle name="20% - Accent6 3 3 2 2 2 2" xfId="15433"/>
    <cellStyle name="20% - Accent6 3 3 2 2 3" xfId="9645"/>
    <cellStyle name="20% - Accent6 3 3 2 2 3 2" xfId="17923"/>
    <cellStyle name="20% - Accent6 3 3 2 2 4" xfId="3957"/>
    <cellStyle name="20% - Accent6 3 3 2 2 5" xfId="12283"/>
    <cellStyle name="20% - Accent6 3 3 2 3" xfId="7150"/>
    <cellStyle name="20% - Accent6 3 3 2 3 2" xfId="15432"/>
    <cellStyle name="20% - Accent6 3 3 2 4" xfId="9644"/>
    <cellStyle name="20% - Accent6 3 3 2 4 2" xfId="17922"/>
    <cellStyle name="20% - Accent6 3 3 2 5" xfId="3956"/>
    <cellStyle name="20% - Accent6 3 3 2 6" xfId="12282"/>
    <cellStyle name="20% - Accent6 3 3 3" xfId="1071"/>
    <cellStyle name="20% - Accent6 3 3 3 2" xfId="1072"/>
    <cellStyle name="20% - Accent6 3 3 3 2 2" xfId="7153"/>
    <cellStyle name="20% - Accent6 3 3 3 2 2 2" xfId="15435"/>
    <cellStyle name="20% - Accent6 3 3 3 2 3" xfId="9647"/>
    <cellStyle name="20% - Accent6 3 3 3 2 3 2" xfId="17925"/>
    <cellStyle name="20% - Accent6 3 3 3 2 4" xfId="3959"/>
    <cellStyle name="20% - Accent6 3 3 3 2 5" xfId="12285"/>
    <cellStyle name="20% - Accent6 3 3 3 3" xfId="7152"/>
    <cellStyle name="20% - Accent6 3 3 3 3 2" xfId="15434"/>
    <cellStyle name="20% - Accent6 3 3 3 4" xfId="9646"/>
    <cellStyle name="20% - Accent6 3 3 3 4 2" xfId="17924"/>
    <cellStyle name="20% - Accent6 3 3 3 5" xfId="3958"/>
    <cellStyle name="20% - Accent6 3 3 3 6" xfId="12284"/>
    <cellStyle name="20% - Accent6 3 3 4" xfId="1073"/>
    <cellStyle name="20% - Accent6 3 3 4 2" xfId="7154"/>
    <cellStyle name="20% - Accent6 3 3 4 2 2" xfId="15436"/>
    <cellStyle name="20% - Accent6 3 3 4 3" xfId="9648"/>
    <cellStyle name="20% - Accent6 3 3 4 3 2" xfId="17926"/>
    <cellStyle name="20% - Accent6 3 3 4 4" xfId="3960"/>
    <cellStyle name="20% - Accent6 3 3 4 5" xfId="12286"/>
    <cellStyle name="20% - Accent6 3 3 5" xfId="1074"/>
    <cellStyle name="20% - Accent6 3 3 5 2" xfId="7155"/>
    <cellStyle name="20% - Accent6 3 3 5 2 2" xfId="15437"/>
    <cellStyle name="20% - Accent6 3 3 5 3" xfId="9649"/>
    <cellStyle name="20% - Accent6 3 3 5 3 2" xfId="17927"/>
    <cellStyle name="20% - Accent6 3 3 5 4" xfId="3961"/>
    <cellStyle name="20% - Accent6 3 3 5 5" xfId="12287"/>
    <cellStyle name="20% - Accent6 3 3 6" xfId="3962"/>
    <cellStyle name="20% - Accent6 3 3 6 2" xfId="12288"/>
    <cellStyle name="20% - Accent6 3 3 7" xfId="5960"/>
    <cellStyle name="20% - Accent6 3 3 7 2" xfId="14242"/>
    <cellStyle name="20% - Accent6 3 3 8" xfId="7149"/>
    <cellStyle name="20% - Accent6 3 3 8 2" xfId="15431"/>
    <cellStyle name="20% - Accent6 3 3 9" xfId="9643"/>
    <cellStyle name="20% - Accent6 3 3 9 2" xfId="17921"/>
    <cellStyle name="20% - Accent6 3 4" xfId="1075"/>
    <cellStyle name="20% - Accent6 3 4 10" xfId="12289"/>
    <cellStyle name="20% - Accent6 3 4 2" xfId="1076"/>
    <cellStyle name="20% - Accent6 3 4 2 2" xfId="1077"/>
    <cellStyle name="20% - Accent6 3 4 2 2 2" xfId="7158"/>
    <cellStyle name="20% - Accent6 3 4 2 2 2 2" xfId="15440"/>
    <cellStyle name="20% - Accent6 3 4 2 2 3" xfId="9652"/>
    <cellStyle name="20% - Accent6 3 4 2 2 3 2" xfId="17930"/>
    <cellStyle name="20% - Accent6 3 4 2 2 4" xfId="3965"/>
    <cellStyle name="20% - Accent6 3 4 2 2 5" xfId="12291"/>
    <cellStyle name="20% - Accent6 3 4 2 3" xfId="7157"/>
    <cellStyle name="20% - Accent6 3 4 2 3 2" xfId="15439"/>
    <cellStyle name="20% - Accent6 3 4 2 4" xfId="9651"/>
    <cellStyle name="20% - Accent6 3 4 2 4 2" xfId="17929"/>
    <cellStyle name="20% - Accent6 3 4 2 5" xfId="3964"/>
    <cellStyle name="20% - Accent6 3 4 2 6" xfId="12290"/>
    <cellStyle name="20% - Accent6 3 4 3" xfId="1078"/>
    <cellStyle name="20% - Accent6 3 4 3 2" xfId="7159"/>
    <cellStyle name="20% - Accent6 3 4 3 2 2" xfId="15441"/>
    <cellStyle name="20% - Accent6 3 4 3 3" xfId="9653"/>
    <cellStyle name="20% - Accent6 3 4 3 3 2" xfId="17931"/>
    <cellStyle name="20% - Accent6 3 4 3 4" xfId="3966"/>
    <cellStyle name="20% - Accent6 3 4 3 5" xfId="12292"/>
    <cellStyle name="20% - Accent6 3 4 4" xfId="1079"/>
    <cellStyle name="20% - Accent6 3 4 4 2" xfId="7160"/>
    <cellStyle name="20% - Accent6 3 4 4 2 2" xfId="15442"/>
    <cellStyle name="20% - Accent6 3 4 4 3" xfId="9654"/>
    <cellStyle name="20% - Accent6 3 4 4 3 2" xfId="17932"/>
    <cellStyle name="20% - Accent6 3 4 4 4" xfId="3967"/>
    <cellStyle name="20% - Accent6 3 4 4 5" xfId="12293"/>
    <cellStyle name="20% - Accent6 3 4 5" xfId="3968"/>
    <cellStyle name="20% - Accent6 3 4 5 2" xfId="12294"/>
    <cellStyle name="20% - Accent6 3 4 6" xfId="5776"/>
    <cellStyle name="20% - Accent6 3 4 6 2" xfId="14058"/>
    <cellStyle name="20% - Accent6 3 4 7" xfId="7156"/>
    <cellStyle name="20% - Accent6 3 4 7 2" xfId="15438"/>
    <cellStyle name="20% - Accent6 3 4 8" xfId="9650"/>
    <cellStyle name="20% - Accent6 3 4 8 2" xfId="17928"/>
    <cellStyle name="20% - Accent6 3 4 9" xfId="3963"/>
    <cellStyle name="20% - Accent6 3 5" xfId="1080"/>
    <cellStyle name="20% - Accent6 3 5 2" xfId="1081"/>
    <cellStyle name="20% - Accent6 3 5 2 2" xfId="7162"/>
    <cellStyle name="20% - Accent6 3 5 2 2 2" xfId="15444"/>
    <cellStyle name="20% - Accent6 3 5 2 3" xfId="9656"/>
    <cellStyle name="20% - Accent6 3 5 2 3 2" xfId="17934"/>
    <cellStyle name="20% - Accent6 3 5 2 4" xfId="3970"/>
    <cellStyle name="20% - Accent6 3 5 2 5" xfId="12296"/>
    <cellStyle name="20% - Accent6 3 5 3" xfId="7161"/>
    <cellStyle name="20% - Accent6 3 5 3 2" xfId="15443"/>
    <cellStyle name="20% - Accent6 3 5 4" xfId="9655"/>
    <cellStyle name="20% - Accent6 3 5 4 2" xfId="17933"/>
    <cellStyle name="20% - Accent6 3 5 5" xfId="3969"/>
    <cellStyle name="20% - Accent6 3 5 6" xfId="12295"/>
    <cellStyle name="20% - Accent6 3 6" xfId="1082"/>
    <cellStyle name="20% - Accent6 3 6 2" xfId="1083"/>
    <cellStyle name="20% - Accent6 3 6 2 2" xfId="7164"/>
    <cellStyle name="20% - Accent6 3 6 2 2 2" xfId="15446"/>
    <cellStyle name="20% - Accent6 3 6 2 3" xfId="9658"/>
    <cellStyle name="20% - Accent6 3 6 2 3 2" xfId="17936"/>
    <cellStyle name="20% - Accent6 3 6 2 4" xfId="3972"/>
    <cellStyle name="20% - Accent6 3 6 2 5" xfId="12298"/>
    <cellStyle name="20% - Accent6 3 6 3" xfId="7163"/>
    <cellStyle name="20% - Accent6 3 6 3 2" xfId="15445"/>
    <cellStyle name="20% - Accent6 3 6 4" xfId="9657"/>
    <cellStyle name="20% - Accent6 3 6 4 2" xfId="17935"/>
    <cellStyle name="20% - Accent6 3 6 5" xfId="3971"/>
    <cellStyle name="20% - Accent6 3 6 6" xfId="12297"/>
    <cellStyle name="20% - Accent6 3 7" xfId="1084"/>
    <cellStyle name="20% - Accent6 3 7 2" xfId="7165"/>
    <cellStyle name="20% - Accent6 3 7 2 2" xfId="15447"/>
    <cellStyle name="20% - Accent6 3 7 3" xfId="9659"/>
    <cellStyle name="20% - Accent6 3 7 3 2" xfId="17937"/>
    <cellStyle name="20% - Accent6 3 7 4" xfId="3973"/>
    <cellStyle name="20% - Accent6 3 7 5" xfId="12299"/>
    <cellStyle name="20% - Accent6 3 8" xfId="1085"/>
    <cellStyle name="20% - Accent6 3 8 2" xfId="7166"/>
    <cellStyle name="20% - Accent6 3 8 2 2" xfId="15448"/>
    <cellStyle name="20% - Accent6 3 8 3" xfId="9660"/>
    <cellStyle name="20% - Accent6 3 8 3 2" xfId="17938"/>
    <cellStyle name="20% - Accent6 3 8 4" xfId="3974"/>
    <cellStyle name="20% - Accent6 3 8 5" xfId="12300"/>
    <cellStyle name="20% - Accent6 3 9" xfId="3975"/>
    <cellStyle name="20% - Accent6 3 9 2" xfId="12301"/>
    <cellStyle name="20% - Accent6 4" xfId="1086"/>
    <cellStyle name="20% - Accent6 4 10" xfId="5688"/>
    <cellStyle name="20% - Accent6 4 10 2" xfId="13974"/>
    <cellStyle name="20% - Accent6 4 11" xfId="7167"/>
    <cellStyle name="20% - Accent6 4 11 2" xfId="15449"/>
    <cellStyle name="20% - Accent6 4 12" xfId="9661"/>
    <cellStyle name="20% - Accent6 4 12 2" xfId="17939"/>
    <cellStyle name="20% - Accent6 4 13" xfId="3976"/>
    <cellStyle name="20% - Accent6 4 14" xfId="12302"/>
    <cellStyle name="20% - Accent6 4 2" xfId="1087"/>
    <cellStyle name="20% - Accent6 4 2 10" xfId="3977"/>
    <cellStyle name="20% - Accent6 4 2 11" xfId="12303"/>
    <cellStyle name="20% - Accent6 4 2 2" xfId="1088"/>
    <cellStyle name="20% - Accent6 4 2 2 2" xfId="1089"/>
    <cellStyle name="20% - Accent6 4 2 2 2 2" xfId="7170"/>
    <cellStyle name="20% - Accent6 4 2 2 2 2 2" xfId="15452"/>
    <cellStyle name="20% - Accent6 4 2 2 2 3" xfId="9664"/>
    <cellStyle name="20% - Accent6 4 2 2 2 3 2" xfId="17942"/>
    <cellStyle name="20% - Accent6 4 2 2 2 4" xfId="3979"/>
    <cellStyle name="20% - Accent6 4 2 2 2 5" xfId="12305"/>
    <cellStyle name="20% - Accent6 4 2 2 3" xfId="7169"/>
    <cellStyle name="20% - Accent6 4 2 2 3 2" xfId="15451"/>
    <cellStyle name="20% - Accent6 4 2 2 4" xfId="9663"/>
    <cellStyle name="20% - Accent6 4 2 2 4 2" xfId="17941"/>
    <cellStyle name="20% - Accent6 4 2 2 5" xfId="3978"/>
    <cellStyle name="20% - Accent6 4 2 2 6" xfId="12304"/>
    <cellStyle name="20% - Accent6 4 2 3" xfId="1090"/>
    <cellStyle name="20% - Accent6 4 2 3 2" xfId="1091"/>
    <cellStyle name="20% - Accent6 4 2 3 2 2" xfId="7172"/>
    <cellStyle name="20% - Accent6 4 2 3 2 2 2" xfId="15454"/>
    <cellStyle name="20% - Accent6 4 2 3 2 3" xfId="9666"/>
    <cellStyle name="20% - Accent6 4 2 3 2 3 2" xfId="17944"/>
    <cellStyle name="20% - Accent6 4 2 3 2 4" xfId="3981"/>
    <cellStyle name="20% - Accent6 4 2 3 2 5" xfId="12307"/>
    <cellStyle name="20% - Accent6 4 2 3 3" xfId="7171"/>
    <cellStyle name="20% - Accent6 4 2 3 3 2" xfId="15453"/>
    <cellStyle name="20% - Accent6 4 2 3 4" xfId="9665"/>
    <cellStyle name="20% - Accent6 4 2 3 4 2" xfId="17943"/>
    <cellStyle name="20% - Accent6 4 2 3 5" xfId="3980"/>
    <cellStyle name="20% - Accent6 4 2 3 6" xfId="12306"/>
    <cellStyle name="20% - Accent6 4 2 4" xfId="1092"/>
    <cellStyle name="20% - Accent6 4 2 4 2" xfId="7173"/>
    <cellStyle name="20% - Accent6 4 2 4 2 2" xfId="15455"/>
    <cellStyle name="20% - Accent6 4 2 4 3" xfId="9667"/>
    <cellStyle name="20% - Accent6 4 2 4 3 2" xfId="17945"/>
    <cellStyle name="20% - Accent6 4 2 4 4" xfId="3982"/>
    <cellStyle name="20% - Accent6 4 2 4 5" xfId="12308"/>
    <cellStyle name="20% - Accent6 4 2 5" xfId="1093"/>
    <cellStyle name="20% - Accent6 4 2 5 2" xfId="7174"/>
    <cellStyle name="20% - Accent6 4 2 5 2 2" xfId="15456"/>
    <cellStyle name="20% - Accent6 4 2 5 3" xfId="9668"/>
    <cellStyle name="20% - Accent6 4 2 5 3 2" xfId="17946"/>
    <cellStyle name="20% - Accent6 4 2 5 4" xfId="3983"/>
    <cellStyle name="20% - Accent6 4 2 5 5" xfId="12309"/>
    <cellStyle name="20% - Accent6 4 2 6" xfId="3984"/>
    <cellStyle name="20% - Accent6 4 2 6 2" xfId="12310"/>
    <cellStyle name="20% - Accent6 4 2 7" xfId="5890"/>
    <cellStyle name="20% - Accent6 4 2 7 2" xfId="14172"/>
    <cellStyle name="20% - Accent6 4 2 8" xfId="7168"/>
    <cellStyle name="20% - Accent6 4 2 8 2" xfId="15450"/>
    <cellStyle name="20% - Accent6 4 2 9" xfId="9662"/>
    <cellStyle name="20% - Accent6 4 2 9 2" xfId="17940"/>
    <cellStyle name="20% - Accent6 4 3" xfId="1094"/>
    <cellStyle name="20% - Accent6 4 3 10" xfId="3985"/>
    <cellStyle name="20% - Accent6 4 3 11" xfId="12311"/>
    <cellStyle name="20% - Accent6 4 3 2" xfId="1095"/>
    <cellStyle name="20% - Accent6 4 3 2 2" xfId="1096"/>
    <cellStyle name="20% - Accent6 4 3 2 2 2" xfId="7177"/>
    <cellStyle name="20% - Accent6 4 3 2 2 2 2" xfId="15459"/>
    <cellStyle name="20% - Accent6 4 3 2 2 3" xfId="9671"/>
    <cellStyle name="20% - Accent6 4 3 2 2 3 2" xfId="17949"/>
    <cellStyle name="20% - Accent6 4 3 2 2 4" xfId="3987"/>
    <cellStyle name="20% - Accent6 4 3 2 2 5" xfId="12313"/>
    <cellStyle name="20% - Accent6 4 3 2 3" xfId="7176"/>
    <cellStyle name="20% - Accent6 4 3 2 3 2" xfId="15458"/>
    <cellStyle name="20% - Accent6 4 3 2 4" xfId="9670"/>
    <cellStyle name="20% - Accent6 4 3 2 4 2" xfId="17948"/>
    <cellStyle name="20% - Accent6 4 3 2 5" xfId="3986"/>
    <cellStyle name="20% - Accent6 4 3 2 6" xfId="12312"/>
    <cellStyle name="20% - Accent6 4 3 3" xfId="1097"/>
    <cellStyle name="20% - Accent6 4 3 3 2" xfId="1098"/>
    <cellStyle name="20% - Accent6 4 3 3 2 2" xfId="7179"/>
    <cellStyle name="20% - Accent6 4 3 3 2 2 2" xfId="15461"/>
    <cellStyle name="20% - Accent6 4 3 3 2 3" xfId="9673"/>
    <cellStyle name="20% - Accent6 4 3 3 2 3 2" xfId="17951"/>
    <cellStyle name="20% - Accent6 4 3 3 2 4" xfId="3989"/>
    <cellStyle name="20% - Accent6 4 3 3 2 5" xfId="12315"/>
    <cellStyle name="20% - Accent6 4 3 3 3" xfId="7178"/>
    <cellStyle name="20% - Accent6 4 3 3 3 2" xfId="15460"/>
    <cellStyle name="20% - Accent6 4 3 3 4" xfId="9672"/>
    <cellStyle name="20% - Accent6 4 3 3 4 2" xfId="17950"/>
    <cellStyle name="20% - Accent6 4 3 3 5" xfId="3988"/>
    <cellStyle name="20% - Accent6 4 3 3 6" xfId="12314"/>
    <cellStyle name="20% - Accent6 4 3 4" xfId="1099"/>
    <cellStyle name="20% - Accent6 4 3 4 2" xfId="7180"/>
    <cellStyle name="20% - Accent6 4 3 4 2 2" xfId="15462"/>
    <cellStyle name="20% - Accent6 4 3 4 3" xfId="9674"/>
    <cellStyle name="20% - Accent6 4 3 4 3 2" xfId="17952"/>
    <cellStyle name="20% - Accent6 4 3 4 4" xfId="3990"/>
    <cellStyle name="20% - Accent6 4 3 4 5" xfId="12316"/>
    <cellStyle name="20% - Accent6 4 3 5" xfId="1100"/>
    <cellStyle name="20% - Accent6 4 3 5 2" xfId="7181"/>
    <cellStyle name="20% - Accent6 4 3 5 2 2" xfId="15463"/>
    <cellStyle name="20% - Accent6 4 3 5 3" xfId="9675"/>
    <cellStyle name="20% - Accent6 4 3 5 3 2" xfId="17953"/>
    <cellStyle name="20% - Accent6 4 3 5 4" xfId="3991"/>
    <cellStyle name="20% - Accent6 4 3 5 5" xfId="12317"/>
    <cellStyle name="20% - Accent6 4 3 6" xfId="3992"/>
    <cellStyle name="20% - Accent6 4 3 6 2" xfId="12318"/>
    <cellStyle name="20% - Accent6 4 3 7" xfId="5988"/>
    <cellStyle name="20% - Accent6 4 3 7 2" xfId="14270"/>
    <cellStyle name="20% - Accent6 4 3 8" xfId="7175"/>
    <cellStyle name="20% - Accent6 4 3 8 2" xfId="15457"/>
    <cellStyle name="20% - Accent6 4 3 9" xfId="9669"/>
    <cellStyle name="20% - Accent6 4 3 9 2" xfId="17947"/>
    <cellStyle name="20% - Accent6 4 4" xfId="1101"/>
    <cellStyle name="20% - Accent6 4 4 10" xfId="12319"/>
    <cellStyle name="20% - Accent6 4 4 2" xfId="1102"/>
    <cellStyle name="20% - Accent6 4 4 2 2" xfId="1103"/>
    <cellStyle name="20% - Accent6 4 4 2 2 2" xfId="7184"/>
    <cellStyle name="20% - Accent6 4 4 2 2 2 2" xfId="15466"/>
    <cellStyle name="20% - Accent6 4 4 2 2 3" xfId="9678"/>
    <cellStyle name="20% - Accent6 4 4 2 2 3 2" xfId="17956"/>
    <cellStyle name="20% - Accent6 4 4 2 2 4" xfId="3995"/>
    <cellStyle name="20% - Accent6 4 4 2 2 5" xfId="12321"/>
    <cellStyle name="20% - Accent6 4 4 2 3" xfId="7183"/>
    <cellStyle name="20% - Accent6 4 4 2 3 2" xfId="15465"/>
    <cellStyle name="20% - Accent6 4 4 2 4" xfId="9677"/>
    <cellStyle name="20% - Accent6 4 4 2 4 2" xfId="17955"/>
    <cellStyle name="20% - Accent6 4 4 2 5" xfId="3994"/>
    <cellStyle name="20% - Accent6 4 4 2 6" xfId="12320"/>
    <cellStyle name="20% - Accent6 4 4 3" xfId="1104"/>
    <cellStyle name="20% - Accent6 4 4 3 2" xfId="7185"/>
    <cellStyle name="20% - Accent6 4 4 3 2 2" xfId="15467"/>
    <cellStyle name="20% - Accent6 4 4 3 3" xfId="9679"/>
    <cellStyle name="20% - Accent6 4 4 3 3 2" xfId="17957"/>
    <cellStyle name="20% - Accent6 4 4 3 4" xfId="3996"/>
    <cellStyle name="20% - Accent6 4 4 3 5" xfId="12322"/>
    <cellStyle name="20% - Accent6 4 4 4" xfId="1105"/>
    <cellStyle name="20% - Accent6 4 4 4 2" xfId="7186"/>
    <cellStyle name="20% - Accent6 4 4 4 2 2" xfId="15468"/>
    <cellStyle name="20% - Accent6 4 4 4 3" xfId="9680"/>
    <cellStyle name="20% - Accent6 4 4 4 3 2" xfId="17958"/>
    <cellStyle name="20% - Accent6 4 4 4 4" xfId="3997"/>
    <cellStyle name="20% - Accent6 4 4 4 5" xfId="12323"/>
    <cellStyle name="20% - Accent6 4 4 5" xfId="3998"/>
    <cellStyle name="20% - Accent6 4 4 5 2" xfId="12324"/>
    <cellStyle name="20% - Accent6 4 4 6" xfId="5804"/>
    <cellStyle name="20% - Accent6 4 4 6 2" xfId="14086"/>
    <cellStyle name="20% - Accent6 4 4 7" xfId="7182"/>
    <cellStyle name="20% - Accent6 4 4 7 2" xfId="15464"/>
    <cellStyle name="20% - Accent6 4 4 8" xfId="9676"/>
    <cellStyle name="20% - Accent6 4 4 8 2" xfId="17954"/>
    <cellStyle name="20% - Accent6 4 4 9" xfId="3993"/>
    <cellStyle name="20% - Accent6 4 5" xfId="1106"/>
    <cellStyle name="20% - Accent6 4 5 2" xfId="1107"/>
    <cellStyle name="20% - Accent6 4 5 2 2" xfId="7188"/>
    <cellStyle name="20% - Accent6 4 5 2 2 2" xfId="15470"/>
    <cellStyle name="20% - Accent6 4 5 2 3" xfId="9682"/>
    <cellStyle name="20% - Accent6 4 5 2 3 2" xfId="17960"/>
    <cellStyle name="20% - Accent6 4 5 2 4" xfId="4000"/>
    <cellStyle name="20% - Accent6 4 5 2 5" xfId="12326"/>
    <cellStyle name="20% - Accent6 4 5 3" xfId="7187"/>
    <cellStyle name="20% - Accent6 4 5 3 2" xfId="15469"/>
    <cellStyle name="20% - Accent6 4 5 4" xfId="9681"/>
    <cellStyle name="20% - Accent6 4 5 4 2" xfId="17959"/>
    <cellStyle name="20% - Accent6 4 5 5" xfId="3999"/>
    <cellStyle name="20% - Accent6 4 5 6" xfId="12325"/>
    <cellStyle name="20% - Accent6 4 6" xfId="1108"/>
    <cellStyle name="20% - Accent6 4 6 2" xfId="1109"/>
    <cellStyle name="20% - Accent6 4 6 2 2" xfId="7190"/>
    <cellStyle name="20% - Accent6 4 6 2 2 2" xfId="15472"/>
    <cellStyle name="20% - Accent6 4 6 2 3" xfId="9684"/>
    <cellStyle name="20% - Accent6 4 6 2 3 2" xfId="17962"/>
    <cellStyle name="20% - Accent6 4 6 2 4" xfId="4002"/>
    <cellStyle name="20% - Accent6 4 6 2 5" xfId="12328"/>
    <cellStyle name="20% - Accent6 4 6 3" xfId="7189"/>
    <cellStyle name="20% - Accent6 4 6 3 2" xfId="15471"/>
    <cellStyle name="20% - Accent6 4 6 4" xfId="9683"/>
    <cellStyle name="20% - Accent6 4 6 4 2" xfId="17961"/>
    <cellStyle name="20% - Accent6 4 6 5" xfId="4001"/>
    <cellStyle name="20% - Accent6 4 6 6" xfId="12327"/>
    <cellStyle name="20% - Accent6 4 7" xfId="1110"/>
    <cellStyle name="20% - Accent6 4 7 2" xfId="7191"/>
    <cellStyle name="20% - Accent6 4 7 2 2" xfId="15473"/>
    <cellStyle name="20% - Accent6 4 7 3" xfId="9685"/>
    <cellStyle name="20% - Accent6 4 7 3 2" xfId="17963"/>
    <cellStyle name="20% - Accent6 4 7 4" xfId="4003"/>
    <cellStyle name="20% - Accent6 4 7 5" xfId="12329"/>
    <cellStyle name="20% - Accent6 4 8" xfId="1111"/>
    <cellStyle name="20% - Accent6 4 8 2" xfId="7192"/>
    <cellStyle name="20% - Accent6 4 8 2 2" xfId="15474"/>
    <cellStyle name="20% - Accent6 4 8 3" xfId="9686"/>
    <cellStyle name="20% - Accent6 4 8 3 2" xfId="17964"/>
    <cellStyle name="20% - Accent6 4 8 4" xfId="4004"/>
    <cellStyle name="20% - Accent6 4 8 5" xfId="12330"/>
    <cellStyle name="20% - Accent6 4 9" xfId="4005"/>
    <cellStyle name="20% - Accent6 4 9 2" xfId="12331"/>
    <cellStyle name="20% - Accent6 5" xfId="1112"/>
    <cellStyle name="20% - Accent6 5 10" xfId="4006"/>
    <cellStyle name="20% - Accent6 5 11" xfId="12332"/>
    <cellStyle name="20% - Accent6 5 2" xfId="1113"/>
    <cellStyle name="20% - Accent6 5 2 2" xfId="1114"/>
    <cellStyle name="20% - Accent6 5 2 2 2" xfId="7195"/>
    <cellStyle name="20% - Accent6 5 2 2 2 2" xfId="15477"/>
    <cellStyle name="20% - Accent6 5 2 2 3" xfId="9689"/>
    <cellStyle name="20% - Accent6 5 2 2 3 2" xfId="17967"/>
    <cellStyle name="20% - Accent6 5 2 2 4" xfId="4008"/>
    <cellStyle name="20% - Accent6 5 2 2 5" xfId="12334"/>
    <cellStyle name="20% - Accent6 5 2 3" xfId="7194"/>
    <cellStyle name="20% - Accent6 5 2 3 2" xfId="15476"/>
    <cellStyle name="20% - Accent6 5 2 4" xfId="9688"/>
    <cellStyle name="20% - Accent6 5 2 4 2" xfId="17966"/>
    <cellStyle name="20% - Accent6 5 2 5" xfId="4007"/>
    <cellStyle name="20% - Accent6 5 2 6" xfId="12333"/>
    <cellStyle name="20% - Accent6 5 3" xfId="1115"/>
    <cellStyle name="20% - Accent6 5 3 2" xfId="1116"/>
    <cellStyle name="20% - Accent6 5 3 2 2" xfId="7197"/>
    <cellStyle name="20% - Accent6 5 3 2 2 2" xfId="15479"/>
    <cellStyle name="20% - Accent6 5 3 2 3" xfId="9691"/>
    <cellStyle name="20% - Accent6 5 3 2 3 2" xfId="17969"/>
    <cellStyle name="20% - Accent6 5 3 2 4" xfId="4010"/>
    <cellStyle name="20% - Accent6 5 3 2 5" xfId="12336"/>
    <cellStyle name="20% - Accent6 5 3 3" xfId="7196"/>
    <cellStyle name="20% - Accent6 5 3 3 2" xfId="15478"/>
    <cellStyle name="20% - Accent6 5 3 4" xfId="9690"/>
    <cellStyle name="20% - Accent6 5 3 4 2" xfId="17968"/>
    <cellStyle name="20% - Accent6 5 3 5" xfId="4009"/>
    <cellStyle name="20% - Accent6 5 3 6" xfId="12335"/>
    <cellStyle name="20% - Accent6 5 4" xfId="1117"/>
    <cellStyle name="20% - Accent6 5 4 2" xfId="7198"/>
    <cellStyle name="20% - Accent6 5 4 2 2" xfId="15480"/>
    <cellStyle name="20% - Accent6 5 4 3" xfId="9692"/>
    <cellStyle name="20% - Accent6 5 4 3 2" xfId="17970"/>
    <cellStyle name="20% - Accent6 5 4 4" xfId="4011"/>
    <cellStyle name="20% - Accent6 5 4 5" xfId="12337"/>
    <cellStyle name="20% - Accent6 5 5" xfId="1118"/>
    <cellStyle name="20% - Accent6 5 5 2" xfId="7199"/>
    <cellStyle name="20% - Accent6 5 5 2 2" xfId="15481"/>
    <cellStyle name="20% - Accent6 5 5 3" xfId="9693"/>
    <cellStyle name="20% - Accent6 5 5 3 2" xfId="17971"/>
    <cellStyle name="20% - Accent6 5 5 4" xfId="4012"/>
    <cellStyle name="20% - Accent6 5 5 5" xfId="12338"/>
    <cellStyle name="20% - Accent6 5 6" xfId="4013"/>
    <cellStyle name="20% - Accent6 5 6 2" xfId="12339"/>
    <cellStyle name="20% - Accent6 5 7" xfId="5750"/>
    <cellStyle name="20% - Accent6 5 7 2" xfId="14035"/>
    <cellStyle name="20% - Accent6 5 8" xfId="7193"/>
    <cellStyle name="20% - Accent6 5 8 2" xfId="15475"/>
    <cellStyle name="20% - Accent6 5 9" xfId="9687"/>
    <cellStyle name="20% - Accent6 5 9 2" xfId="17965"/>
    <cellStyle name="20% - Accent6 6" xfId="1119"/>
    <cellStyle name="20% - Accent6 6 10" xfId="4014"/>
    <cellStyle name="20% - Accent6 6 11" xfId="12340"/>
    <cellStyle name="20% - Accent6 6 2" xfId="1120"/>
    <cellStyle name="20% - Accent6 6 2 2" xfId="1121"/>
    <cellStyle name="20% - Accent6 6 2 2 2" xfId="7202"/>
    <cellStyle name="20% - Accent6 6 2 2 2 2" xfId="15484"/>
    <cellStyle name="20% - Accent6 6 2 2 3" xfId="9696"/>
    <cellStyle name="20% - Accent6 6 2 2 3 2" xfId="17974"/>
    <cellStyle name="20% - Accent6 6 2 2 4" xfId="4016"/>
    <cellStyle name="20% - Accent6 6 2 2 5" xfId="12342"/>
    <cellStyle name="20% - Accent6 6 2 3" xfId="7201"/>
    <cellStyle name="20% - Accent6 6 2 3 2" xfId="15483"/>
    <cellStyle name="20% - Accent6 6 2 4" xfId="9695"/>
    <cellStyle name="20% - Accent6 6 2 4 2" xfId="17973"/>
    <cellStyle name="20% - Accent6 6 2 5" xfId="4015"/>
    <cellStyle name="20% - Accent6 6 2 6" xfId="12341"/>
    <cellStyle name="20% - Accent6 6 3" xfId="1122"/>
    <cellStyle name="20% - Accent6 6 3 2" xfId="1123"/>
    <cellStyle name="20% - Accent6 6 3 2 2" xfId="7204"/>
    <cellStyle name="20% - Accent6 6 3 2 2 2" xfId="15486"/>
    <cellStyle name="20% - Accent6 6 3 2 3" xfId="9698"/>
    <cellStyle name="20% - Accent6 6 3 2 3 2" xfId="17976"/>
    <cellStyle name="20% - Accent6 6 3 2 4" xfId="4018"/>
    <cellStyle name="20% - Accent6 6 3 2 5" xfId="12344"/>
    <cellStyle name="20% - Accent6 6 3 3" xfId="7203"/>
    <cellStyle name="20% - Accent6 6 3 3 2" xfId="15485"/>
    <cellStyle name="20% - Accent6 6 3 4" xfId="9697"/>
    <cellStyle name="20% - Accent6 6 3 4 2" xfId="17975"/>
    <cellStyle name="20% - Accent6 6 3 5" xfId="4017"/>
    <cellStyle name="20% - Accent6 6 3 6" xfId="12343"/>
    <cellStyle name="20% - Accent6 6 4" xfId="1124"/>
    <cellStyle name="20% - Accent6 6 4 2" xfId="7205"/>
    <cellStyle name="20% - Accent6 6 4 2 2" xfId="15487"/>
    <cellStyle name="20% - Accent6 6 4 3" xfId="9699"/>
    <cellStyle name="20% - Accent6 6 4 3 2" xfId="17977"/>
    <cellStyle name="20% - Accent6 6 4 4" xfId="4019"/>
    <cellStyle name="20% - Accent6 6 4 5" xfId="12345"/>
    <cellStyle name="20% - Accent6 6 5" xfId="1125"/>
    <cellStyle name="20% - Accent6 6 5 2" xfId="7206"/>
    <cellStyle name="20% - Accent6 6 5 2 2" xfId="15488"/>
    <cellStyle name="20% - Accent6 6 5 3" xfId="9700"/>
    <cellStyle name="20% - Accent6 6 5 3 2" xfId="17978"/>
    <cellStyle name="20% - Accent6 6 5 4" xfId="4020"/>
    <cellStyle name="20% - Accent6 6 5 5" xfId="12346"/>
    <cellStyle name="20% - Accent6 6 6" xfId="4021"/>
    <cellStyle name="20% - Accent6 6 6 2" xfId="12347"/>
    <cellStyle name="20% - Accent6 6 7" xfId="5839"/>
    <cellStyle name="20% - Accent6 6 7 2" xfId="14121"/>
    <cellStyle name="20% - Accent6 6 8" xfId="7200"/>
    <cellStyle name="20% - Accent6 6 8 2" xfId="15482"/>
    <cellStyle name="20% - Accent6 6 9" xfId="9694"/>
    <cellStyle name="20% - Accent6 6 9 2" xfId="17972"/>
    <cellStyle name="20% - Accent6 7" xfId="1126"/>
    <cellStyle name="20% - Accent6 7 10" xfId="4022"/>
    <cellStyle name="20% - Accent6 7 11" xfId="12348"/>
    <cellStyle name="20% - Accent6 7 2" xfId="1127"/>
    <cellStyle name="20% - Accent6 7 2 2" xfId="1128"/>
    <cellStyle name="20% - Accent6 7 2 2 2" xfId="7209"/>
    <cellStyle name="20% - Accent6 7 2 2 2 2" xfId="15491"/>
    <cellStyle name="20% - Accent6 7 2 2 3" xfId="9703"/>
    <cellStyle name="20% - Accent6 7 2 2 3 2" xfId="17981"/>
    <cellStyle name="20% - Accent6 7 2 2 4" xfId="4024"/>
    <cellStyle name="20% - Accent6 7 2 2 5" xfId="12350"/>
    <cellStyle name="20% - Accent6 7 2 3" xfId="7208"/>
    <cellStyle name="20% - Accent6 7 2 3 2" xfId="15490"/>
    <cellStyle name="20% - Accent6 7 2 4" xfId="9702"/>
    <cellStyle name="20% - Accent6 7 2 4 2" xfId="17980"/>
    <cellStyle name="20% - Accent6 7 2 5" xfId="4023"/>
    <cellStyle name="20% - Accent6 7 2 6" xfId="12349"/>
    <cellStyle name="20% - Accent6 7 3" xfId="1129"/>
    <cellStyle name="20% - Accent6 7 3 2" xfId="1130"/>
    <cellStyle name="20% - Accent6 7 3 2 2" xfId="7211"/>
    <cellStyle name="20% - Accent6 7 3 2 2 2" xfId="15493"/>
    <cellStyle name="20% - Accent6 7 3 2 3" xfId="9705"/>
    <cellStyle name="20% - Accent6 7 3 2 3 2" xfId="17983"/>
    <cellStyle name="20% - Accent6 7 3 2 4" xfId="4026"/>
    <cellStyle name="20% - Accent6 7 3 2 5" xfId="12352"/>
    <cellStyle name="20% - Accent6 7 3 3" xfId="7210"/>
    <cellStyle name="20% - Accent6 7 3 3 2" xfId="15492"/>
    <cellStyle name="20% - Accent6 7 3 4" xfId="9704"/>
    <cellStyle name="20% - Accent6 7 3 4 2" xfId="17982"/>
    <cellStyle name="20% - Accent6 7 3 5" xfId="4025"/>
    <cellStyle name="20% - Accent6 7 3 6" xfId="12351"/>
    <cellStyle name="20% - Accent6 7 4" xfId="1131"/>
    <cellStyle name="20% - Accent6 7 4 2" xfId="7212"/>
    <cellStyle name="20% - Accent6 7 4 2 2" xfId="15494"/>
    <cellStyle name="20% - Accent6 7 4 3" xfId="9706"/>
    <cellStyle name="20% - Accent6 7 4 3 2" xfId="17984"/>
    <cellStyle name="20% - Accent6 7 4 4" xfId="4027"/>
    <cellStyle name="20% - Accent6 7 4 5" xfId="12353"/>
    <cellStyle name="20% - Accent6 7 5" xfId="1132"/>
    <cellStyle name="20% - Accent6 7 5 2" xfId="7213"/>
    <cellStyle name="20% - Accent6 7 5 2 2" xfId="15495"/>
    <cellStyle name="20% - Accent6 7 5 3" xfId="9707"/>
    <cellStyle name="20% - Accent6 7 5 3 2" xfId="17985"/>
    <cellStyle name="20% - Accent6 7 5 4" xfId="4028"/>
    <cellStyle name="20% - Accent6 7 5 5" xfId="12354"/>
    <cellStyle name="20% - Accent6 7 6" xfId="4029"/>
    <cellStyle name="20% - Accent6 7 6 2" xfId="12355"/>
    <cellStyle name="20% - Accent6 7 7" xfId="5925"/>
    <cellStyle name="20% - Accent6 7 7 2" xfId="14207"/>
    <cellStyle name="20% - Accent6 7 8" xfId="7207"/>
    <cellStyle name="20% - Accent6 7 8 2" xfId="15489"/>
    <cellStyle name="20% - Accent6 7 9" xfId="9701"/>
    <cellStyle name="20% - Accent6 7 9 2" xfId="17979"/>
    <cellStyle name="20% - Accent6 8" xfId="1133"/>
    <cellStyle name="20% - Accent6 8 10" xfId="4030"/>
    <cellStyle name="20% - Accent6 8 11" xfId="12356"/>
    <cellStyle name="20% - Accent6 8 2" xfId="1134"/>
    <cellStyle name="20% - Accent6 8 2 2" xfId="1135"/>
    <cellStyle name="20% - Accent6 8 2 2 2" xfId="7216"/>
    <cellStyle name="20% - Accent6 8 2 2 2 2" xfId="15498"/>
    <cellStyle name="20% - Accent6 8 2 2 3" xfId="9710"/>
    <cellStyle name="20% - Accent6 8 2 2 3 2" xfId="17988"/>
    <cellStyle name="20% - Accent6 8 2 2 4" xfId="4032"/>
    <cellStyle name="20% - Accent6 8 2 2 5" xfId="12358"/>
    <cellStyle name="20% - Accent6 8 2 3" xfId="7215"/>
    <cellStyle name="20% - Accent6 8 2 3 2" xfId="15497"/>
    <cellStyle name="20% - Accent6 8 2 4" xfId="9709"/>
    <cellStyle name="20% - Accent6 8 2 4 2" xfId="17987"/>
    <cellStyle name="20% - Accent6 8 2 5" xfId="4031"/>
    <cellStyle name="20% - Accent6 8 2 6" xfId="12357"/>
    <cellStyle name="20% - Accent6 8 3" xfId="1136"/>
    <cellStyle name="20% - Accent6 8 3 2" xfId="1137"/>
    <cellStyle name="20% - Accent6 8 3 2 2" xfId="7218"/>
    <cellStyle name="20% - Accent6 8 3 2 2 2" xfId="15500"/>
    <cellStyle name="20% - Accent6 8 3 2 3" xfId="9712"/>
    <cellStyle name="20% - Accent6 8 3 2 3 2" xfId="17990"/>
    <cellStyle name="20% - Accent6 8 3 2 4" xfId="4034"/>
    <cellStyle name="20% - Accent6 8 3 2 5" xfId="12360"/>
    <cellStyle name="20% - Accent6 8 3 3" xfId="7217"/>
    <cellStyle name="20% - Accent6 8 3 3 2" xfId="15499"/>
    <cellStyle name="20% - Accent6 8 3 4" xfId="9711"/>
    <cellStyle name="20% - Accent6 8 3 4 2" xfId="17989"/>
    <cellStyle name="20% - Accent6 8 3 5" xfId="4033"/>
    <cellStyle name="20% - Accent6 8 3 6" xfId="12359"/>
    <cellStyle name="20% - Accent6 8 4" xfId="1138"/>
    <cellStyle name="20% - Accent6 8 4 2" xfId="7219"/>
    <cellStyle name="20% - Accent6 8 4 2 2" xfId="15501"/>
    <cellStyle name="20% - Accent6 8 4 3" xfId="9713"/>
    <cellStyle name="20% - Accent6 8 4 3 2" xfId="17991"/>
    <cellStyle name="20% - Accent6 8 4 4" xfId="4035"/>
    <cellStyle name="20% - Accent6 8 4 5" xfId="12361"/>
    <cellStyle name="20% - Accent6 8 5" xfId="1139"/>
    <cellStyle name="20% - Accent6 8 5 2" xfId="7220"/>
    <cellStyle name="20% - Accent6 8 5 2 2" xfId="15502"/>
    <cellStyle name="20% - Accent6 8 5 3" xfId="9714"/>
    <cellStyle name="20% - Accent6 8 5 3 2" xfId="17992"/>
    <cellStyle name="20% - Accent6 8 5 4" xfId="4036"/>
    <cellStyle name="20% - Accent6 8 5 5" xfId="12362"/>
    <cellStyle name="20% - Accent6 8 6" xfId="4037"/>
    <cellStyle name="20% - Accent6 8 6 2" xfId="12363"/>
    <cellStyle name="20% - Accent6 8 7" xfId="5937"/>
    <cellStyle name="20% - Accent6 8 7 2" xfId="14219"/>
    <cellStyle name="20% - Accent6 8 8" xfId="7214"/>
    <cellStyle name="20% - Accent6 8 8 2" xfId="15496"/>
    <cellStyle name="20% - Accent6 8 9" xfId="9708"/>
    <cellStyle name="20% - Accent6 8 9 2" xfId="17986"/>
    <cellStyle name="20% - Accent6 9" xfId="1140"/>
    <cellStyle name="20% - Accent6 9 10" xfId="4038"/>
    <cellStyle name="20% - Accent6 9 11" xfId="12364"/>
    <cellStyle name="20% - Accent6 9 2" xfId="1141"/>
    <cellStyle name="20% - Accent6 9 2 2" xfId="1142"/>
    <cellStyle name="20% - Accent6 9 2 2 2" xfId="7223"/>
    <cellStyle name="20% - Accent6 9 2 2 2 2" xfId="15505"/>
    <cellStyle name="20% - Accent6 9 2 2 3" xfId="9717"/>
    <cellStyle name="20% - Accent6 9 2 2 3 2" xfId="17995"/>
    <cellStyle name="20% - Accent6 9 2 2 4" xfId="4040"/>
    <cellStyle name="20% - Accent6 9 2 2 5" xfId="12366"/>
    <cellStyle name="20% - Accent6 9 2 3" xfId="7222"/>
    <cellStyle name="20% - Accent6 9 2 3 2" xfId="15504"/>
    <cellStyle name="20% - Accent6 9 2 4" xfId="9716"/>
    <cellStyle name="20% - Accent6 9 2 4 2" xfId="17994"/>
    <cellStyle name="20% - Accent6 9 2 5" xfId="4039"/>
    <cellStyle name="20% - Accent6 9 2 6" xfId="12365"/>
    <cellStyle name="20% - Accent6 9 3" xfId="1143"/>
    <cellStyle name="20% - Accent6 9 3 2" xfId="1144"/>
    <cellStyle name="20% - Accent6 9 3 2 2" xfId="7225"/>
    <cellStyle name="20% - Accent6 9 3 2 2 2" xfId="15507"/>
    <cellStyle name="20% - Accent6 9 3 2 3" xfId="9719"/>
    <cellStyle name="20% - Accent6 9 3 2 3 2" xfId="17997"/>
    <cellStyle name="20% - Accent6 9 3 2 4" xfId="4042"/>
    <cellStyle name="20% - Accent6 9 3 2 5" xfId="12368"/>
    <cellStyle name="20% - Accent6 9 3 3" xfId="7224"/>
    <cellStyle name="20% - Accent6 9 3 3 2" xfId="15506"/>
    <cellStyle name="20% - Accent6 9 3 4" xfId="9718"/>
    <cellStyle name="20% - Accent6 9 3 4 2" xfId="17996"/>
    <cellStyle name="20% - Accent6 9 3 5" xfId="4041"/>
    <cellStyle name="20% - Accent6 9 3 6" xfId="12367"/>
    <cellStyle name="20% - Accent6 9 4" xfId="1145"/>
    <cellStyle name="20% - Accent6 9 4 2" xfId="7226"/>
    <cellStyle name="20% - Accent6 9 4 2 2" xfId="15508"/>
    <cellStyle name="20% - Accent6 9 4 3" xfId="9720"/>
    <cellStyle name="20% - Accent6 9 4 3 2" xfId="17998"/>
    <cellStyle name="20% - Accent6 9 4 4" xfId="4043"/>
    <cellStyle name="20% - Accent6 9 4 5" xfId="12369"/>
    <cellStyle name="20% - Accent6 9 5" xfId="1146"/>
    <cellStyle name="20% - Accent6 9 5 2" xfId="7227"/>
    <cellStyle name="20% - Accent6 9 5 2 2" xfId="15509"/>
    <cellStyle name="20% - Accent6 9 5 3" xfId="9721"/>
    <cellStyle name="20% - Accent6 9 5 3 2" xfId="17999"/>
    <cellStyle name="20% - Accent6 9 5 4" xfId="4044"/>
    <cellStyle name="20% - Accent6 9 5 5" xfId="12370"/>
    <cellStyle name="20% - Accent6 9 6" xfId="4045"/>
    <cellStyle name="20% - Accent6 9 6 2" xfId="12371"/>
    <cellStyle name="20% - Accent6 9 7" xfId="6023"/>
    <cellStyle name="20% - Accent6 9 7 2" xfId="14305"/>
    <cellStyle name="20% - Accent6 9 8" xfId="7221"/>
    <cellStyle name="20% - Accent6 9 8 2" xfId="15503"/>
    <cellStyle name="20% - Accent6 9 9" xfId="9715"/>
    <cellStyle name="20% - Accent6 9 9 2" xfId="17993"/>
    <cellStyle name="40% - Accent1" xfId="1147" builtinId="31" customBuiltin="1"/>
    <cellStyle name="40% - Accent1 10" xfId="1148"/>
    <cellStyle name="40% - Accent1 10 10" xfId="4047"/>
    <cellStyle name="40% - Accent1 10 11" xfId="12373"/>
    <cellStyle name="40% - Accent1 10 2" xfId="1149"/>
    <cellStyle name="40% - Accent1 10 2 2" xfId="1150"/>
    <cellStyle name="40% - Accent1 10 2 2 2" xfId="7231"/>
    <cellStyle name="40% - Accent1 10 2 2 2 2" xfId="15513"/>
    <cellStyle name="40% - Accent1 10 2 2 3" xfId="9725"/>
    <cellStyle name="40% - Accent1 10 2 2 3 2" xfId="18003"/>
    <cellStyle name="40% - Accent1 10 2 2 4" xfId="4049"/>
    <cellStyle name="40% - Accent1 10 2 2 5" xfId="12375"/>
    <cellStyle name="40% - Accent1 10 2 3" xfId="7230"/>
    <cellStyle name="40% - Accent1 10 2 3 2" xfId="15512"/>
    <cellStyle name="40% - Accent1 10 2 4" xfId="9724"/>
    <cellStyle name="40% - Accent1 10 2 4 2" xfId="18002"/>
    <cellStyle name="40% - Accent1 10 2 5" xfId="4048"/>
    <cellStyle name="40% - Accent1 10 2 6" xfId="12374"/>
    <cellStyle name="40% - Accent1 10 3" xfId="1151"/>
    <cellStyle name="40% - Accent1 10 3 2" xfId="1152"/>
    <cellStyle name="40% - Accent1 10 3 2 2" xfId="7233"/>
    <cellStyle name="40% - Accent1 10 3 2 2 2" xfId="15515"/>
    <cellStyle name="40% - Accent1 10 3 2 3" xfId="9727"/>
    <cellStyle name="40% - Accent1 10 3 2 3 2" xfId="18005"/>
    <cellStyle name="40% - Accent1 10 3 2 4" xfId="4051"/>
    <cellStyle name="40% - Accent1 10 3 2 5" xfId="12377"/>
    <cellStyle name="40% - Accent1 10 3 3" xfId="7232"/>
    <cellStyle name="40% - Accent1 10 3 3 2" xfId="15514"/>
    <cellStyle name="40% - Accent1 10 3 4" xfId="9726"/>
    <cellStyle name="40% - Accent1 10 3 4 2" xfId="18004"/>
    <cellStyle name="40% - Accent1 10 3 5" xfId="4050"/>
    <cellStyle name="40% - Accent1 10 3 6" xfId="12376"/>
    <cellStyle name="40% - Accent1 10 4" xfId="1153"/>
    <cellStyle name="40% - Accent1 10 4 2" xfId="7234"/>
    <cellStyle name="40% - Accent1 10 4 2 2" xfId="15516"/>
    <cellStyle name="40% - Accent1 10 4 3" xfId="9728"/>
    <cellStyle name="40% - Accent1 10 4 3 2" xfId="18006"/>
    <cellStyle name="40% - Accent1 10 4 4" xfId="4052"/>
    <cellStyle name="40% - Accent1 10 4 5" xfId="12378"/>
    <cellStyle name="40% - Accent1 10 5" xfId="1154"/>
    <cellStyle name="40% - Accent1 10 5 2" xfId="7235"/>
    <cellStyle name="40% - Accent1 10 5 2 2" xfId="15517"/>
    <cellStyle name="40% - Accent1 10 5 3" xfId="9729"/>
    <cellStyle name="40% - Accent1 10 5 3 2" xfId="18007"/>
    <cellStyle name="40% - Accent1 10 5 4" xfId="4053"/>
    <cellStyle name="40% - Accent1 10 5 5" xfId="12379"/>
    <cellStyle name="40% - Accent1 10 6" xfId="4054"/>
    <cellStyle name="40% - Accent1 10 6 2" xfId="12380"/>
    <cellStyle name="40% - Accent1 10 7" xfId="6028"/>
    <cellStyle name="40% - Accent1 10 7 2" xfId="14310"/>
    <cellStyle name="40% - Accent1 10 8" xfId="7229"/>
    <cellStyle name="40% - Accent1 10 8 2" xfId="15511"/>
    <cellStyle name="40% - Accent1 10 9" xfId="9723"/>
    <cellStyle name="40% - Accent1 10 9 2" xfId="18001"/>
    <cellStyle name="40% - Accent1 11" xfId="1155"/>
    <cellStyle name="40% - Accent1 11 10" xfId="12381"/>
    <cellStyle name="40% - Accent1 11 2" xfId="1156"/>
    <cellStyle name="40% - Accent1 11 2 2" xfId="1157"/>
    <cellStyle name="40% - Accent1 11 2 2 2" xfId="7238"/>
    <cellStyle name="40% - Accent1 11 2 2 2 2" xfId="15520"/>
    <cellStyle name="40% - Accent1 11 2 2 3" xfId="9732"/>
    <cellStyle name="40% - Accent1 11 2 2 3 2" xfId="18010"/>
    <cellStyle name="40% - Accent1 11 2 2 4" xfId="4057"/>
    <cellStyle name="40% - Accent1 11 2 2 5" xfId="12383"/>
    <cellStyle name="40% - Accent1 11 2 3" xfId="7237"/>
    <cellStyle name="40% - Accent1 11 2 3 2" xfId="15519"/>
    <cellStyle name="40% - Accent1 11 2 4" xfId="9731"/>
    <cellStyle name="40% - Accent1 11 2 4 2" xfId="18009"/>
    <cellStyle name="40% - Accent1 11 2 5" xfId="4056"/>
    <cellStyle name="40% - Accent1 11 2 6" xfId="12382"/>
    <cellStyle name="40% - Accent1 11 3" xfId="1158"/>
    <cellStyle name="40% - Accent1 11 3 2" xfId="7239"/>
    <cellStyle name="40% - Accent1 11 3 2 2" xfId="15521"/>
    <cellStyle name="40% - Accent1 11 3 3" xfId="9733"/>
    <cellStyle name="40% - Accent1 11 3 3 2" xfId="18011"/>
    <cellStyle name="40% - Accent1 11 3 4" xfId="4058"/>
    <cellStyle name="40% - Accent1 11 3 5" xfId="12384"/>
    <cellStyle name="40% - Accent1 11 4" xfId="1159"/>
    <cellStyle name="40% - Accent1 11 4 2" xfId="7240"/>
    <cellStyle name="40% - Accent1 11 4 2 2" xfId="15522"/>
    <cellStyle name="40% - Accent1 11 4 3" xfId="9734"/>
    <cellStyle name="40% - Accent1 11 4 3 2" xfId="18012"/>
    <cellStyle name="40% - Accent1 11 4 4" xfId="4059"/>
    <cellStyle name="40% - Accent1 11 4 5" xfId="12385"/>
    <cellStyle name="40% - Accent1 11 5" xfId="4060"/>
    <cellStyle name="40% - Accent1 11 5 2" xfId="12386"/>
    <cellStyle name="40% - Accent1 11 6" xfId="5717"/>
    <cellStyle name="40% - Accent1 11 6 2" xfId="14003"/>
    <cellStyle name="40% - Accent1 11 7" xfId="7236"/>
    <cellStyle name="40% - Accent1 11 7 2" xfId="15518"/>
    <cellStyle name="40% - Accent1 11 8" xfId="9730"/>
    <cellStyle name="40% - Accent1 11 8 2" xfId="18008"/>
    <cellStyle name="40% - Accent1 11 9" xfId="4055"/>
    <cellStyle name="40% - Accent1 12" xfId="1160"/>
    <cellStyle name="40% - Accent1 12 2" xfId="1161"/>
    <cellStyle name="40% - Accent1 12 2 2" xfId="7242"/>
    <cellStyle name="40% - Accent1 12 2 2 2" xfId="15524"/>
    <cellStyle name="40% - Accent1 12 2 3" xfId="9736"/>
    <cellStyle name="40% - Accent1 12 2 3 2" xfId="18014"/>
    <cellStyle name="40% - Accent1 12 2 4" xfId="4062"/>
    <cellStyle name="40% - Accent1 12 2 5" xfId="12388"/>
    <cellStyle name="40% - Accent1 12 3" xfId="4063"/>
    <cellStyle name="40% - Accent1 12 3 2" xfId="12389"/>
    <cellStyle name="40% - Accent1 12 4" xfId="6043"/>
    <cellStyle name="40% - Accent1 12 4 2" xfId="14325"/>
    <cellStyle name="40% - Accent1 12 5" xfId="7241"/>
    <cellStyle name="40% - Accent1 12 5 2" xfId="15523"/>
    <cellStyle name="40% - Accent1 12 6" xfId="9735"/>
    <cellStyle name="40% - Accent1 12 6 2" xfId="18013"/>
    <cellStyle name="40% - Accent1 12 7" xfId="4061"/>
    <cellStyle name="40% - Accent1 12 8" xfId="12387"/>
    <cellStyle name="40% - Accent1 13" xfId="1162"/>
    <cellStyle name="40% - Accent1 13 2" xfId="1163"/>
    <cellStyle name="40% - Accent1 13 2 2" xfId="7244"/>
    <cellStyle name="40% - Accent1 13 2 2 2" xfId="15526"/>
    <cellStyle name="40% - Accent1 13 2 3" xfId="9738"/>
    <cellStyle name="40% - Accent1 13 2 3 2" xfId="18016"/>
    <cellStyle name="40% - Accent1 13 2 4" xfId="4065"/>
    <cellStyle name="40% - Accent1 13 2 5" xfId="12391"/>
    <cellStyle name="40% - Accent1 13 3" xfId="4066"/>
    <cellStyle name="40% - Accent1 13 3 2" xfId="12392"/>
    <cellStyle name="40% - Accent1 13 4" xfId="6057"/>
    <cellStyle name="40% - Accent1 13 4 2" xfId="14339"/>
    <cellStyle name="40% - Accent1 13 5" xfId="7243"/>
    <cellStyle name="40% - Accent1 13 5 2" xfId="15525"/>
    <cellStyle name="40% - Accent1 13 6" xfId="9737"/>
    <cellStyle name="40% - Accent1 13 6 2" xfId="18015"/>
    <cellStyle name="40% - Accent1 13 7" xfId="4064"/>
    <cellStyle name="40% - Accent1 13 8" xfId="12390"/>
    <cellStyle name="40% - Accent1 14" xfId="1164"/>
    <cellStyle name="40% - Accent1 14 2" xfId="4068"/>
    <cellStyle name="40% - Accent1 14 2 2" xfId="12394"/>
    <cellStyle name="40% - Accent1 14 3" xfId="6071"/>
    <cellStyle name="40% - Accent1 14 3 2" xfId="14353"/>
    <cellStyle name="40% - Accent1 14 4" xfId="7245"/>
    <cellStyle name="40% - Accent1 14 4 2" xfId="15527"/>
    <cellStyle name="40% - Accent1 14 5" xfId="9739"/>
    <cellStyle name="40% - Accent1 14 5 2" xfId="18017"/>
    <cellStyle name="40% - Accent1 14 6" xfId="4067"/>
    <cellStyle name="40% - Accent1 14 7" xfId="12393"/>
    <cellStyle name="40% - Accent1 15" xfId="1165"/>
    <cellStyle name="40% - Accent1 15 2" xfId="7246"/>
    <cellStyle name="40% - Accent1 15 2 2" xfId="15528"/>
    <cellStyle name="40% - Accent1 15 3" xfId="9740"/>
    <cellStyle name="40% - Accent1 15 3 2" xfId="18018"/>
    <cellStyle name="40% - Accent1 15 4" xfId="4069"/>
    <cellStyle name="40% - Accent1 15 5" xfId="12395"/>
    <cellStyle name="40% - Accent1 16" xfId="4070"/>
    <cellStyle name="40% - Accent1 16 2" xfId="12396"/>
    <cellStyle name="40% - Accent1 17" xfId="5624"/>
    <cellStyle name="40% - Accent1 17 2" xfId="13914"/>
    <cellStyle name="40% - Accent1 18" xfId="7228"/>
    <cellStyle name="40% - Accent1 18 2" xfId="15510"/>
    <cellStyle name="40% - Accent1 19" xfId="9722"/>
    <cellStyle name="40% - Accent1 19 2" xfId="18000"/>
    <cellStyle name="40% - Accent1 2" xfId="1166"/>
    <cellStyle name="40% - Accent1 2 10" xfId="1167"/>
    <cellStyle name="40% - Accent1 2 10 2" xfId="7248"/>
    <cellStyle name="40% - Accent1 2 10 2 2" xfId="15530"/>
    <cellStyle name="40% - Accent1 2 10 3" xfId="9742"/>
    <cellStyle name="40% - Accent1 2 10 3 2" xfId="18020"/>
    <cellStyle name="40% - Accent1 2 10 4" xfId="4072"/>
    <cellStyle name="40% - Accent1 2 10 5" xfId="12398"/>
    <cellStyle name="40% - Accent1 2 11" xfId="1168"/>
    <cellStyle name="40% - Accent1 2 11 2" xfId="7249"/>
    <cellStyle name="40% - Accent1 2 11 2 2" xfId="15531"/>
    <cellStyle name="40% - Accent1 2 11 3" xfId="9743"/>
    <cellStyle name="40% - Accent1 2 11 3 2" xfId="18021"/>
    <cellStyle name="40% - Accent1 2 11 4" xfId="4073"/>
    <cellStyle name="40% - Accent1 2 11 5" xfId="12399"/>
    <cellStyle name="40% - Accent1 2 12" xfId="4074"/>
    <cellStyle name="40% - Accent1 2 12 2" xfId="12400"/>
    <cellStyle name="40% - Accent1 2 13" xfId="5644"/>
    <cellStyle name="40% - Accent1 2 13 2" xfId="13933"/>
    <cellStyle name="40% - Accent1 2 14" xfId="7247"/>
    <cellStyle name="40% - Accent1 2 14 2" xfId="15529"/>
    <cellStyle name="40% - Accent1 2 15" xfId="9741"/>
    <cellStyle name="40% - Accent1 2 15 2" xfId="18019"/>
    <cellStyle name="40% - Accent1 2 16" xfId="4071"/>
    <cellStyle name="40% - Accent1 2 17" xfId="12397"/>
    <cellStyle name="40% - Accent1 2 2" xfId="1169"/>
    <cellStyle name="40% - Accent1 2 2 10" xfId="5672"/>
    <cellStyle name="40% - Accent1 2 2 10 2" xfId="13958"/>
    <cellStyle name="40% - Accent1 2 2 11" xfId="7250"/>
    <cellStyle name="40% - Accent1 2 2 11 2" xfId="15532"/>
    <cellStyle name="40% - Accent1 2 2 12" xfId="9744"/>
    <cellStyle name="40% - Accent1 2 2 12 2" xfId="18022"/>
    <cellStyle name="40% - Accent1 2 2 13" xfId="4075"/>
    <cellStyle name="40% - Accent1 2 2 14" xfId="12401"/>
    <cellStyle name="40% - Accent1 2 2 2" xfId="1170"/>
    <cellStyle name="40% - Accent1 2 2 2 10" xfId="4076"/>
    <cellStyle name="40% - Accent1 2 2 2 11" xfId="12402"/>
    <cellStyle name="40% - Accent1 2 2 2 2" xfId="1171"/>
    <cellStyle name="40% - Accent1 2 2 2 2 2" xfId="1172"/>
    <cellStyle name="40% - Accent1 2 2 2 2 2 2" xfId="7253"/>
    <cellStyle name="40% - Accent1 2 2 2 2 2 2 2" xfId="15535"/>
    <cellStyle name="40% - Accent1 2 2 2 2 2 3" xfId="9747"/>
    <cellStyle name="40% - Accent1 2 2 2 2 2 3 2" xfId="18025"/>
    <cellStyle name="40% - Accent1 2 2 2 2 2 4" xfId="4078"/>
    <cellStyle name="40% - Accent1 2 2 2 2 2 5" xfId="12404"/>
    <cellStyle name="40% - Accent1 2 2 2 2 3" xfId="7252"/>
    <cellStyle name="40% - Accent1 2 2 2 2 3 2" xfId="15534"/>
    <cellStyle name="40% - Accent1 2 2 2 2 4" xfId="9746"/>
    <cellStyle name="40% - Accent1 2 2 2 2 4 2" xfId="18024"/>
    <cellStyle name="40% - Accent1 2 2 2 2 5" xfId="4077"/>
    <cellStyle name="40% - Accent1 2 2 2 2 6" xfId="12403"/>
    <cellStyle name="40% - Accent1 2 2 2 3" xfId="1173"/>
    <cellStyle name="40% - Accent1 2 2 2 3 2" xfId="1174"/>
    <cellStyle name="40% - Accent1 2 2 2 3 2 2" xfId="7255"/>
    <cellStyle name="40% - Accent1 2 2 2 3 2 2 2" xfId="15537"/>
    <cellStyle name="40% - Accent1 2 2 2 3 2 3" xfId="9749"/>
    <cellStyle name="40% - Accent1 2 2 2 3 2 3 2" xfId="18027"/>
    <cellStyle name="40% - Accent1 2 2 2 3 2 4" xfId="4080"/>
    <cellStyle name="40% - Accent1 2 2 2 3 2 5" xfId="12406"/>
    <cellStyle name="40% - Accent1 2 2 2 3 3" xfId="7254"/>
    <cellStyle name="40% - Accent1 2 2 2 3 3 2" xfId="15536"/>
    <cellStyle name="40% - Accent1 2 2 2 3 4" xfId="9748"/>
    <cellStyle name="40% - Accent1 2 2 2 3 4 2" xfId="18026"/>
    <cellStyle name="40% - Accent1 2 2 2 3 5" xfId="4079"/>
    <cellStyle name="40% - Accent1 2 2 2 3 6" xfId="12405"/>
    <cellStyle name="40% - Accent1 2 2 2 4" xfId="1175"/>
    <cellStyle name="40% - Accent1 2 2 2 4 2" xfId="7256"/>
    <cellStyle name="40% - Accent1 2 2 2 4 2 2" xfId="15538"/>
    <cellStyle name="40% - Accent1 2 2 2 4 3" xfId="9750"/>
    <cellStyle name="40% - Accent1 2 2 2 4 3 2" xfId="18028"/>
    <cellStyle name="40% - Accent1 2 2 2 4 4" xfId="4081"/>
    <cellStyle name="40% - Accent1 2 2 2 4 5" xfId="12407"/>
    <cellStyle name="40% - Accent1 2 2 2 5" xfId="1176"/>
    <cellStyle name="40% - Accent1 2 2 2 5 2" xfId="7257"/>
    <cellStyle name="40% - Accent1 2 2 2 5 2 2" xfId="15539"/>
    <cellStyle name="40% - Accent1 2 2 2 5 3" xfId="9751"/>
    <cellStyle name="40% - Accent1 2 2 2 5 3 2" xfId="18029"/>
    <cellStyle name="40% - Accent1 2 2 2 5 4" xfId="4082"/>
    <cellStyle name="40% - Accent1 2 2 2 5 5" xfId="12408"/>
    <cellStyle name="40% - Accent1 2 2 2 6" xfId="4083"/>
    <cellStyle name="40% - Accent1 2 2 2 6 2" xfId="12409"/>
    <cellStyle name="40% - Accent1 2 2 2 7" xfId="5874"/>
    <cellStyle name="40% - Accent1 2 2 2 7 2" xfId="14156"/>
    <cellStyle name="40% - Accent1 2 2 2 8" xfId="7251"/>
    <cellStyle name="40% - Accent1 2 2 2 8 2" xfId="15533"/>
    <cellStyle name="40% - Accent1 2 2 2 9" xfId="9745"/>
    <cellStyle name="40% - Accent1 2 2 2 9 2" xfId="18023"/>
    <cellStyle name="40% - Accent1 2 2 3" xfId="1177"/>
    <cellStyle name="40% - Accent1 2 2 3 10" xfId="4084"/>
    <cellStyle name="40% - Accent1 2 2 3 11" xfId="12410"/>
    <cellStyle name="40% - Accent1 2 2 3 2" xfId="1178"/>
    <cellStyle name="40% - Accent1 2 2 3 2 2" xfId="1179"/>
    <cellStyle name="40% - Accent1 2 2 3 2 2 2" xfId="7260"/>
    <cellStyle name="40% - Accent1 2 2 3 2 2 2 2" xfId="15542"/>
    <cellStyle name="40% - Accent1 2 2 3 2 2 3" xfId="9754"/>
    <cellStyle name="40% - Accent1 2 2 3 2 2 3 2" xfId="18032"/>
    <cellStyle name="40% - Accent1 2 2 3 2 2 4" xfId="4086"/>
    <cellStyle name="40% - Accent1 2 2 3 2 2 5" xfId="12412"/>
    <cellStyle name="40% - Accent1 2 2 3 2 3" xfId="7259"/>
    <cellStyle name="40% - Accent1 2 2 3 2 3 2" xfId="15541"/>
    <cellStyle name="40% - Accent1 2 2 3 2 4" xfId="9753"/>
    <cellStyle name="40% - Accent1 2 2 3 2 4 2" xfId="18031"/>
    <cellStyle name="40% - Accent1 2 2 3 2 5" xfId="4085"/>
    <cellStyle name="40% - Accent1 2 2 3 2 6" xfId="12411"/>
    <cellStyle name="40% - Accent1 2 2 3 3" xfId="1180"/>
    <cellStyle name="40% - Accent1 2 2 3 3 2" xfId="1181"/>
    <cellStyle name="40% - Accent1 2 2 3 3 2 2" xfId="7262"/>
    <cellStyle name="40% - Accent1 2 2 3 3 2 2 2" xfId="15544"/>
    <cellStyle name="40% - Accent1 2 2 3 3 2 3" xfId="9756"/>
    <cellStyle name="40% - Accent1 2 2 3 3 2 3 2" xfId="18034"/>
    <cellStyle name="40% - Accent1 2 2 3 3 2 4" xfId="4088"/>
    <cellStyle name="40% - Accent1 2 2 3 3 2 5" xfId="12414"/>
    <cellStyle name="40% - Accent1 2 2 3 3 3" xfId="7261"/>
    <cellStyle name="40% - Accent1 2 2 3 3 3 2" xfId="15543"/>
    <cellStyle name="40% - Accent1 2 2 3 3 4" xfId="9755"/>
    <cellStyle name="40% - Accent1 2 2 3 3 4 2" xfId="18033"/>
    <cellStyle name="40% - Accent1 2 2 3 3 5" xfId="4087"/>
    <cellStyle name="40% - Accent1 2 2 3 3 6" xfId="12413"/>
    <cellStyle name="40% - Accent1 2 2 3 4" xfId="1182"/>
    <cellStyle name="40% - Accent1 2 2 3 4 2" xfId="7263"/>
    <cellStyle name="40% - Accent1 2 2 3 4 2 2" xfId="15545"/>
    <cellStyle name="40% - Accent1 2 2 3 4 3" xfId="9757"/>
    <cellStyle name="40% - Accent1 2 2 3 4 3 2" xfId="18035"/>
    <cellStyle name="40% - Accent1 2 2 3 4 4" xfId="4089"/>
    <cellStyle name="40% - Accent1 2 2 3 4 5" xfId="12415"/>
    <cellStyle name="40% - Accent1 2 2 3 5" xfId="1183"/>
    <cellStyle name="40% - Accent1 2 2 3 5 2" xfId="7264"/>
    <cellStyle name="40% - Accent1 2 2 3 5 2 2" xfId="15546"/>
    <cellStyle name="40% - Accent1 2 2 3 5 3" xfId="9758"/>
    <cellStyle name="40% - Accent1 2 2 3 5 3 2" xfId="18036"/>
    <cellStyle name="40% - Accent1 2 2 3 5 4" xfId="4090"/>
    <cellStyle name="40% - Accent1 2 2 3 5 5" xfId="12416"/>
    <cellStyle name="40% - Accent1 2 2 3 6" xfId="4091"/>
    <cellStyle name="40% - Accent1 2 2 3 6 2" xfId="12417"/>
    <cellStyle name="40% - Accent1 2 2 3 7" xfId="5972"/>
    <cellStyle name="40% - Accent1 2 2 3 7 2" xfId="14254"/>
    <cellStyle name="40% - Accent1 2 2 3 8" xfId="7258"/>
    <cellStyle name="40% - Accent1 2 2 3 8 2" xfId="15540"/>
    <cellStyle name="40% - Accent1 2 2 3 9" xfId="9752"/>
    <cellStyle name="40% - Accent1 2 2 3 9 2" xfId="18030"/>
    <cellStyle name="40% - Accent1 2 2 4" xfId="1184"/>
    <cellStyle name="40% - Accent1 2 2 4 10" xfId="12418"/>
    <cellStyle name="40% - Accent1 2 2 4 2" xfId="1185"/>
    <cellStyle name="40% - Accent1 2 2 4 2 2" xfId="1186"/>
    <cellStyle name="40% - Accent1 2 2 4 2 2 2" xfId="7267"/>
    <cellStyle name="40% - Accent1 2 2 4 2 2 2 2" xfId="15549"/>
    <cellStyle name="40% - Accent1 2 2 4 2 2 3" xfId="9761"/>
    <cellStyle name="40% - Accent1 2 2 4 2 2 3 2" xfId="18039"/>
    <cellStyle name="40% - Accent1 2 2 4 2 2 4" xfId="4094"/>
    <cellStyle name="40% - Accent1 2 2 4 2 2 5" xfId="12420"/>
    <cellStyle name="40% - Accent1 2 2 4 2 3" xfId="7266"/>
    <cellStyle name="40% - Accent1 2 2 4 2 3 2" xfId="15548"/>
    <cellStyle name="40% - Accent1 2 2 4 2 4" xfId="9760"/>
    <cellStyle name="40% - Accent1 2 2 4 2 4 2" xfId="18038"/>
    <cellStyle name="40% - Accent1 2 2 4 2 5" xfId="4093"/>
    <cellStyle name="40% - Accent1 2 2 4 2 6" xfId="12419"/>
    <cellStyle name="40% - Accent1 2 2 4 3" xfId="1187"/>
    <cellStyle name="40% - Accent1 2 2 4 3 2" xfId="7268"/>
    <cellStyle name="40% - Accent1 2 2 4 3 2 2" xfId="15550"/>
    <cellStyle name="40% - Accent1 2 2 4 3 3" xfId="9762"/>
    <cellStyle name="40% - Accent1 2 2 4 3 3 2" xfId="18040"/>
    <cellStyle name="40% - Accent1 2 2 4 3 4" xfId="4095"/>
    <cellStyle name="40% - Accent1 2 2 4 3 5" xfId="12421"/>
    <cellStyle name="40% - Accent1 2 2 4 4" xfId="1188"/>
    <cellStyle name="40% - Accent1 2 2 4 4 2" xfId="7269"/>
    <cellStyle name="40% - Accent1 2 2 4 4 2 2" xfId="15551"/>
    <cellStyle name="40% - Accent1 2 2 4 4 3" xfId="9763"/>
    <cellStyle name="40% - Accent1 2 2 4 4 3 2" xfId="18041"/>
    <cellStyle name="40% - Accent1 2 2 4 4 4" xfId="4096"/>
    <cellStyle name="40% - Accent1 2 2 4 4 5" xfId="12422"/>
    <cellStyle name="40% - Accent1 2 2 4 5" xfId="4097"/>
    <cellStyle name="40% - Accent1 2 2 4 5 2" xfId="12423"/>
    <cellStyle name="40% - Accent1 2 2 4 6" xfId="5788"/>
    <cellStyle name="40% - Accent1 2 2 4 6 2" xfId="14070"/>
    <cellStyle name="40% - Accent1 2 2 4 7" xfId="7265"/>
    <cellStyle name="40% - Accent1 2 2 4 7 2" xfId="15547"/>
    <cellStyle name="40% - Accent1 2 2 4 8" xfId="9759"/>
    <cellStyle name="40% - Accent1 2 2 4 8 2" xfId="18037"/>
    <cellStyle name="40% - Accent1 2 2 4 9" xfId="4092"/>
    <cellStyle name="40% - Accent1 2 2 5" xfId="1189"/>
    <cellStyle name="40% - Accent1 2 2 5 2" xfId="1190"/>
    <cellStyle name="40% - Accent1 2 2 5 2 2" xfId="7271"/>
    <cellStyle name="40% - Accent1 2 2 5 2 2 2" xfId="15553"/>
    <cellStyle name="40% - Accent1 2 2 5 2 3" xfId="9765"/>
    <cellStyle name="40% - Accent1 2 2 5 2 3 2" xfId="18043"/>
    <cellStyle name="40% - Accent1 2 2 5 2 4" xfId="4099"/>
    <cellStyle name="40% - Accent1 2 2 5 2 5" xfId="12425"/>
    <cellStyle name="40% - Accent1 2 2 5 3" xfId="7270"/>
    <cellStyle name="40% - Accent1 2 2 5 3 2" xfId="15552"/>
    <cellStyle name="40% - Accent1 2 2 5 4" xfId="9764"/>
    <cellStyle name="40% - Accent1 2 2 5 4 2" xfId="18042"/>
    <cellStyle name="40% - Accent1 2 2 5 5" xfId="4098"/>
    <cellStyle name="40% - Accent1 2 2 5 6" xfId="12424"/>
    <cellStyle name="40% - Accent1 2 2 6" xfId="1191"/>
    <cellStyle name="40% - Accent1 2 2 6 2" xfId="1192"/>
    <cellStyle name="40% - Accent1 2 2 6 2 2" xfId="7273"/>
    <cellStyle name="40% - Accent1 2 2 6 2 2 2" xfId="15555"/>
    <cellStyle name="40% - Accent1 2 2 6 2 3" xfId="9767"/>
    <cellStyle name="40% - Accent1 2 2 6 2 3 2" xfId="18045"/>
    <cellStyle name="40% - Accent1 2 2 6 2 4" xfId="4101"/>
    <cellStyle name="40% - Accent1 2 2 6 2 5" xfId="12427"/>
    <cellStyle name="40% - Accent1 2 2 6 3" xfId="7272"/>
    <cellStyle name="40% - Accent1 2 2 6 3 2" xfId="15554"/>
    <cellStyle name="40% - Accent1 2 2 6 4" xfId="9766"/>
    <cellStyle name="40% - Accent1 2 2 6 4 2" xfId="18044"/>
    <cellStyle name="40% - Accent1 2 2 6 5" xfId="4100"/>
    <cellStyle name="40% - Accent1 2 2 6 6" xfId="12426"/>
    <cellStyle name="40% - Accent1 2 2 7" xfId="1193"/>
    <cellStyle name="40% - Accent1 2 2 7 2" xfId="7274"/>
    <cellStyle name="40% - Accent1 2 2 7 2 2" xfId="15556"/>
    <cellStyle name="40% - Accent1 2 2 7 3" xfId="9768"/>
    <cellStyle name="40% - Accent1 2 2 7 3 2" xfId="18046"/>
    <cellStyle name="40% - Accent1 2 2 7 4" xfId="4102"/>
    <cellStyle name="40% - Accent1 2 2 7 5" xfId="12428"/>
    <cellStyle name="40% - Accent1 2 2 8" xfId="1194"/>
    <cellStyle name="40% - Accent1 2 2 8 2" xfId="7275"/>
    <cellStyle name="40% - Accent1 2 2 8 2 2" xfId="15557"/>
    <cellStyle name="40% - Accent1 2 2 8 3" xfId="9769"/>
    <cellStyle name="40% - Accent1 2 2 8 3 2" xfId="18047"/>
    <cellStyle name="40% - Accent1 2 2 8 4" xfId="4103"/>
    <cellStyle name="40% - Accent1 2 2 8 5" xfId="12429"/>
    <cellStyle name="40% - Accent1 2 2 9" xfId="4104"/>
    <cellStyle name="40% - Accent1 2 2 9 2" xfId="12430"/>
    <cellStyle name="40% - Accent1 2 3" xfId="1195"/>
    <cellStyle name="40% - Accent1 2 3 10" xfId="5700"/>
    <cellStyle name="40% - Accent1 2 3 10 2" xfId="13986"/>
    <cellStyle name="40% - Accent1 2 3 11" xfId="7276"/>
    <cellStyle name="40% - Accent1 2 3 11 2" xfId="15558"/>
    <cellStyle name="40% - Accent1 2 3 12" xfId="9770"/>
    <cellStyle name="40% - Accent1 2 3 12 2" xfId="18048"/>
    <cellStyle name="40% - Accent1 2 3 13" xfId="4105"/>
    <cellStyle name="40% - Accent1 2 3 14" xfId="12431"/>
    <cellStyle name="40% - Accent1 2 3 2" xfId="1196"/>
    <cellStyle name="40% - Accent1 2 3 2 10" xfId="4106"/>
    <cellStyle name="40% - Accent1 2 3 2 11" xfId="12432"/>
    <cellStyle name="40% - Accent1 2 3 2 2" xfId="1197"/>
    <cellStyle name="40% - Accent1 2 3 2 2 2" xfId="1198"/>
    <cellStyle name="40% - Accent1 2 3 2 2 2 2" xfId="7279"/>
    <cellStyle name="40% - Accent1 2 3 2 2 2 2 2" xfId="15561"/>
    <cellStyle name="40% - Accent1 2 3 2 2 2 3" xfId="9773"/>
    <cellStyle name="40% - Accent1 2 3 2 2 2 3 2" xfId="18051"/>
    <cellStyle name="40% - Accent1 2 3 2 2 2 4" xfId="4108"/>
    <cellStyle name="40% - Accent1 2 3 2 2 2 5" xfId="12434"/>
    <cellStyle name="40% - Accent1 2 3 2 2 3" xfId="7278"/>
    <cellStyle name="40% - Accent1 2 3 2 2 3 2" xfId="15560"/>
    <cellStyle name="40% - Accent1 2 3 2 2 4" xfId="9772"/>
    <cellStyle name="40% - Accent1 2 3 2 2 4 2" xfId="18050"/>
    <cellStyle name="40% - Accent1 2 3 2 2 5" xfId="4107"/>
    <cellStyle name="40% - Accent1 2 3 2 2 6" xfId="12433"/>
    <cellStyle name="40% - Accent1 2 3 2 3" xfId="1199"/>
    <cellStyle name="40% - Accent1 2 3 2 3 2" xfId="1200"/>
    <cellStyle name="40% - Accent1 2 3 2 3 2 2" xfId="7281"/>
    <cellStyle name="40% - Accent1 2 3 2 3 2 2 2" xfId="15563"/>
    <cellStyle name="40% - Accent1 2 3 2 3 2 3" xfId="9775"/>
    <cellStyle name="40% - Accent1 2 3 2 3 2 3 2" xfId="18053"/>
    <cellStyle name="40% - Accent1 2 3 2 3 2 4" xfId="4110"/>
    <cellStyle name="40% - Accent1 2 3 2 3 2 5" xfId="12436"/>
    <cellStyle name="40% - Accent1 2 3 2 3 3" xfId="7280"/>
    <cellStyle name="40% - Accent1 2 3 2 3 3 2" xfId="15562"/>
    <cellStyle name="40% - Accent1 2 3 2 3 4" xfId="9774"/>
    <cellStyle name="40% - Accent1 2 3 2 3 4 2" xfId="18052"/>
    <cellStyle name="40% - Accent1 2 3 2 3 5" xfId="4109"/>
    <cellStyle name="40% - Accent1 2 3 2 3 6" xfId="12435"/>
    <cellStyle name="40% - Accent1 2 3 2 4" xfId="1201"/>
    <cellStyle name="40% - Accent1 2 3 2 4 2" xfId="7282"/>
    <cellStyle name="40% - Accent1 2 3 2 4 2 2" xfId="15564"/>
    <cellStyle name="40% - Accent1 2 3 2 4 3" xfId="9776"/>
    <cellStyle name="40% - Accent1 2 3 2 4 3 2" xfId="18054"/>
    <cellStyle name="40% - Accent1 2 3 2 4 4" xfId="4111"/>
    <cellStyle name="40% - Accent1 2 3 2 4 5" xfId="12437"/>
    <cellStyle name="40% - Accent1 2 3 2 5" xfId="1202"/>
    <cellStyle name="40% - Accent1 2 3 2 5 2" xfId="7283"/>
    <cellStyle name="40% - Accent1 2 3 2 5 2 2" xfId="15565"/>
    <cellStyle name="40% - Accent1 2 3 2 5 3" xfId="9777"/>
    <cellStyle name="40% - Accent1 2 3 2 5 3 2" xfId="18055"/>
    <cellStyle name="40% - Accent1 2 3 2 5 4" xfId="4112"/>
    <cellStyle name="40% - Accent1 2 3 2 5 5" xfId="12438"/>
    <cellStyle name="40% - Accent1 2 3 2 6" xfId="4113"/>
    <cellStyle name="40% - Accent1 2 3 2 6 2" xfId="12439"/>
    <cellStyle name="40% - Accent1 2 3 2 7" xfId="5902"/>
    <cellStyle name="40% - Accent1 2 3 2 7 2" xfId="14184"/>
    <cellStyle name="40% - Accent1 2 3 2 8" xfId="7277"/>
    <cellStyle name="40% - Accent1 2 3 2 8 2" xfId="15559"/>
    <cellStyle name="40% - Accent1 2 3 2 9" xfId="9771"/>
    <cellStyle name="40% - Accent1 2 3 2 9 2" xfId="18049"/>
    <cellStyle name="40% - Accent1 2 3 3" xfId="1203"/>
    <cellStyle name="40% - Accent1 2 3 3 10" xfId="4114"/>
    <cellStyle name="40% - Accent1 2 3 3 11" xfId="12440"/>
    <cellStyle name="40% - Accent1 2 3 3 2" xfId="1204"/>
    <cellStyle name="40% - Accent1 2 3 3 2 2" xfId="1205"/>
    <cellStyle name="40% - Accent1 2 3 3 2 2 2" xfId="7286"/>
    <cellStyle name="40% - Accent1 2 3 3 2 2 2 2" xfId="15568"/>
    <cellStyle name="40% - Accent1 2 3 3 2 2 3" xfId="9780"/>
    <cellStyle name="40% - Accent1 2 3 3 2 2 3 2" xfId="18058"/>
    <cellStyle name="40% - Accent1 2 3 3 2 2 4" xfId="4116"/>
    <cellStyle name="40% - Accent1 2 3 3 2 2 5" xfId="12442"/>
    <cellStyle name="40% - Accent1 2 3 3 2 3" xfId="7285"/>
    <cellStyle name="40% - Accent1 2 3 3 2 3 2" xfId="15567"/>
    <cellStyle name="40% - Accent1 2 3 3 2 4" xfId="9779"/>
    <cellStyle name="40% - Accent1 2 3 3 2 4 2" xfId="18057"/>
    <cellStyle name="40% - Accent1 2 3 3 2 5" xfId="4115"/>
    <cellStyle name="40% - Accent1 2 3 3 2 6" xfId="12441"/>
    <cellStyle name="40% - Accent1 2 3 3 3" xfId="1206"/>
    <cellStyle name="40% - Accent1 2 3 3 3 2" xfId="1207"/>
    <cellStyle name="40% - Accent1 2 3 3 3 2 2" xfId="7288"/>
    <cellStyle name="40% - Accent1 2 3 3 3 2 2 2" xfId="15570"/>
    <cellStyle name="40% - Accent1 2 3 3 3 2 3" xfId="9782"/>
    <cellStyle name="40% - Accent1 2 3 3 3 2 3 2" xfId="18060"/>
    <cellStyle name="40% - Accent1 2 3 3 3 2 4" xfId="4118"/>
    <cellStyle name="40% - Accent1 2 3 3 3 2 5" xfId="12444"/>
    <cellStyle name="40% - Accent1 2 3 3 3 3" xfId="7287"/>
    <cellStyle name="40% - Accent1 2 3 3 3 3 2" xfId="15569"/>
    <cellStyle name="40% - Accent1 2 3 3 3 4" xfId="9781"/>
    <cellStyle name="40% - Accent1 2 3 3 3 4 2" xfId="18059"/>
    <cellStyle name="40% - Accent1 2 3 3 3 5" xfId="4117"/>
    <cellStyle name="40% - Accent1 2 3 3 3 6" xfId="12443"/>
    <cellStyle name="40% - Accent1 2 3 3 4" xfId="1208"/>
    <cellStyle name="40% - Accent1 2 3 3 4 2" xfId="7289"/>
    <cellStyle name="40% - Accent1 2 3 3 4 2 2" xfId="15571"/>
    <cellStyle name="40% - Accent1 2 3 3 4 3" xfId="9783"/>
    <cellStyle name="40% - Accent1 2 3 3 4 3 2" xfId="18061"/>
    <cellStyle name="40% - Accent1 2 3 3 4 4" xfId="4119"/>
    <cellStyle name="40% - Accent1 2 3 3 4 5" xfId="12445"/>
    <cellStyle name="40% - Accent1 2 3 3 5" xfId="1209"/>
    <cellStyle name="40% - Accent1 2 3 3 5 2" xfId="7290"/>
    <cellStyle name="40% - Accent1 2 3 3 5 2 2" xfId="15572"/>
    <cellStyle name="40% - Accent1 2 3 3 5 3" xfId="9784"/>
    <cellStyle name="40% - Accent1 2 3 3 5 3 2" xfId="18062"/>
    <cellStyle name="40% - Accent1 2 3 3 5 4" xfId="4120"/>
    <cellStyle name="40% - Accent1 2 3 3 5 5" xfId="12446"/>
    <cellStyle name="40% - Accent1 2 3 3 6" xfId="4121"/>
    <cellStyle name="40% - Accent1 2 3 3 6 2" xfId="12447"/>
    <cellStyle name="40% - Accent1 2 3 3 7" xfId="6000"/>
    <cellStyle name="40% - Accent1 2 3 3 7 2" xfId="14282"/>
    <cellStyle name="40% - Accent1 2 3 3 8" xfId="7284"/>
    <cellStyle name="40% - Accent1 2 3 3 8 2" xfId="15566"/>
    <cellStyle name="40% - Accent1 2 3 3 9" xfId="9778"/>
    <cellStyle name="40% - Accent1 2 3 3 9 2" xfId="18056"/>
    <cellStyle name="40% - Accent1 2 3 4" xfId="1210"/>
    <cellStyle name="40% - Accent1 2 3 4 10" xfId="12448"/>
    <cellStyle name="40% - Accent1 2 3 4 2" xfId="1211"/>
    <cellStyle name="40% - Accent1 2 3 4 2 2" xfId="1212"/>
    <cellStyle name="40% - Accent1 2 3 4 2 2 2" xfId="7293"/>
    <cellStyle name="40% - Accent1 2 3 4 2 2 2 2" xfId="15575"/>
    <cellStyle name="40% - Accent1 2 3 4 2 2 3" xfId="9787"/>
    <cellStyle name="40% - Accent1 2 3 4 2 2 3 2" xfId="18065"/>
    <cellStyle name="40% - Accent1 2 3 4 2 2 4" xfId="4124"/>
    <cellStyle name="40% - Accent1 2 3 4 2 2 5" xfId="12450"/>
    <cellStyle name="40% - Accent1 2 3 4 2 3" xfId="7292"/>
    <cellStyle name="40% - Accent1 2 3 4 2 3 2" xfId="15574"/>
    <cellStyle name="40% - Accent1 2 3 4 2 4" xfId="9786"/>
    <cellStyle name="40% - Accent1 2 3 4 2 4 2" xfId="18064"/>
    <cellStyle name="40% - Accent1 2 3 4 2 5" xfId="4123"/>
    <cellStyle name="40% - Accent1 2 3 4 2 6" xfId="12449"/>
    <cellStyle name="40% - Accent1 2 3 4 3" xfId="1213"/>
    <cellStyle name="40% - Accent1 2 3 4 3 2" xfId="7294"/>
    <cellStyle name="40% - Accent1 2 3 4 3 2 2" xfId="15576"/>
    <cellStyle name="40% - Accent1 2 3 4 3 3" xfId="9788"/>
    <cellStyle name="40% - Accent1 2 3 4 3 3 2" xfId="18066"/>
    <cellStyle name="40% - Accent1 2 3 4 3 4" xfId="4125"/>
    <cellStyle name="40% - Accent1 2 3 4 3 5" xfId="12451"/>
    <cellStyle name="40% - Accent1 2 3 4 4" xfId="1214"/>
    <cellStyle name="40% - Accent1 2 3 4 4 2" xfId="7295"/>
    <cellStyle name="40% - Accent1 2 3 4 4 2 2" xfId="15577"/>
    <cellStyle name="40% - Accent1 2 3 4 4 3" xfId="9789"/>
    <cellStyle name="40% - Accent1 2 3 4 4 3 2" xfId="18067"/>
    <cellStyle name="40% - Accent1 2 3 4 4 4" xfId="4126"/>
    <cellStyle name="40% - Accent1 2 3 4 4 5" xfId="12452"/>
    <cellStyle name="40% - Accent1 2 3 4 5" xfId="4127"/>
    <cellStyle name="40% - Accent1 2 3 4 5 2" xfId="12453"/>
    <cellStyle name="40% - Accent1 2 3 4 6" xfId="5816"/>
    <cellStyle name="40% - Accent1 2 3 4 6 2" xfId="14098"/>
    <cellStyle name="40% - Accent1 2 3 4 7" xfId="7291"/>
    <cellStyle name="40% - Accent1 2 3 4 7 2" xfId="15573"/>
    <cellStyle name="40% - Accent1 2 3 4 8" xfId="9785"/>
    <cellStyle name="40% - Accent1 2 3 4 8 2" xfId="18063"/>
    <cellStyle name="40% - Accent1 2 3 4 9" xfId="4122"/>
    <cellStyle name="40% - Accent1 2 3 5" xfId="1215"/>
    <cellStyle name="40% - Accent1 2 3 5 2" xfId="1216"/>
    <cellStyle name="40% - Accent1 2 3 5 2 2" xfId="7297"/>
    <cellStyle name="40% - Accent1 2 3 5 2 2 2" xfId="15579"/>
    <cellStyle name="40% - Accent1 2 3 5 2 3" xfId="9791"/>
    <cellStyle name="40% - Accent1 2 3 5 2 3 2" xfId="18069"/>
    <cellStyle name="40% - Accent1 2 3 5 2 4" xfId="4129"/>
    <cellStyle name="40% - Accent1 2 3 5 2 5" xfId="12455"/>
    <cellStyle name="40% - Accent1 2 3 5 3" xfId="7296"/>
    <cellStyle name="40% - Accent1 2 3 5 3 2" xfId="15578"/>
    <cellStyle name="40% - Accent1 2 3 5 4" xfId="9790"/>
    <cellStyle name="40% - Accent1 2 3 5 4 2" xfId="18068"/>
    <cellStyle name="40% - Accent1 2 3 5 5" xfId="4128"/>
    <cellStyle name="40% - Accent1 2 3 5 6" xfId="12454"/>
    <cellStyle name="40% - Accent1 2 3 6" xfId="1217"/>
    <cellStyle name="40% - Accent1 2 3 6 2" xfId="1218"/>
    <cellStyle name="40% - Accent1 2 3 6 2 2" xfId="7299"/>
    <cellStyle name="40% - Accent1 2 3 6 2 2 2" xfId="15581"/>
    <cellStyle name="40% - Accent1 2 3 6 2 3" xfId="9793"/>
    <cellStyle name="40% - Accent1 2 3 6 2 3 2" xfId="18071"/>
    <cellStyle name="40% - Accent1 2 3 6 2 4" xfId="4131"/>
    <cellStyle name="40% - Accent1 2 3 6 2 5" xfId="12457"/>
    <cellStyle name="40% - Accent1 2 3 6 3" xfId="7298"/>
    <cellStyle name="40% - Accent1 2 3 6 3 2" xfId="15580"/>
    <cellStyle name="40% - Accent1 2 3 6 4" xfId="9792"/>
    <cellStyle name="40% - Accent1 2 3 6 4 2" xfId="18070"/>
    <cellStyle name="40% - Accent1 2 3 6 5" xfId="4130"/>
    <cellStyle name="40% - Accent1 2 3 6 6" xfId="12456"/>
    <cellStyle name="40% - Accent1 2 3 7" xfId="1219"/>
    <cellStyle name="40% - Accent1 2 3 7 2" xfId="7300"/>
    <cellStyle name="40% - Accent1 2 3 7 2 2" xfId="15582"/>
    <cellStyle name="40% - Accent1 2 3 7 3" xfId="9794"/>
    <cellStyle name="40% - Accent1 2 3 7 3 2" xfId="18072"/>
    <cellStyle name="40% - Accent1 2 3 7 4" xfId="4132"/>
    <cellStyle name="40% - Accent1 2 3 7 5" xfId="12458"/>
    <cellStyle name="40% - Accent1 2 3 8" xfId="1220"/>
    <cellStyle name="40% - Accent1 2 3 8 2" xfId="7301"/>
    <cellStyle name="40% - Accent1 2 3 8 2 2" xfId="15583"/>
    <cellStyle name="40% - Accent1 2 3 8 3" xfId="9795"/>
    <cellStyle name="40% - Accent1 2 3 8 3 2" xfId="18073"/>
    <cellStyle name="40% - Accent1 2 3 8 4" xfId="4133"/>
    <cellStyle name="40% - Accent1 2 3 8 5" xfId="12459"/>
    <cellStyle name="40% - Accent1 2 3 9" xfId="4134"/>
    <cellStyle name="40% - Accent1 2 3 9 2" xfId="12460"/>
    <cellStyle name="40% - Accent1 2 4" xfId="1221"/>
    <cellStyle name="40% - Accent1 2 4 10" xfId="4135"/>
    <cellStyle name="40% - Accent1 2 4 11" xfId="12461"/>
    <cellStyle name="40% - Accent1 2 4 2" xfId="1222"/>
    <cellStyle name="40% - Accent1 2 4 2 2" xfId="1223"/>
    <cellStyle name="40% - Accent1 2 4 2 2 2" xfId="7304"/>
    <cellStyle name="40% - Accent1 2 4 2 2 2 2" xfId="15586"/>
    <cellStyle name="40% - Accent1 2 4 2 2 3" xfId="9798"/>
    <cellStyle name="40% - Accent1 2 4 2 2 3 2" xfId="18076"/>
    <cellStyle name="40% - Accent1 2 4 2 2 4" xfId="4137"/>
    <cellStyle name="40% - Accent1 2 4 2 2 5" xfId="12463"/>
    <cellStyle name="40% - Accent1 2 4 2 3" xfId="7303"/>
    <cellStyle name="40% - Accent1 2 4 2 3 2" xfId="15585"/>
    <cellStyle name="40% - Accent1 2 4 2 4" xfId="9797"/>
    <cellStyle name="40% - Accent1 2 4 2 4 2" xfId="18075"/>
    <cellStyle name="40% - Accent1 2 4 2 5" xfId="4136"/>
    <cellStyle name="40% - Accent1 2 4 2 6" xfId="12462"/>
    <cellStyle name="40% - Accent1 2 4 3" xfId="1224"/>
    <cellStyle name="40% - Accent1 2 4 3 2" xfId="1225"/>
    <cellStyle name="40% - Accent1 2 4 3 2 2" xfId="7306"/>
    <cellStyle name="40% - Accent1 2 4 3 2 2 2" xfId="15588"/>
    <cellStyle name="40% - Accent1 2 4 3 2 3" xfId="9800"/>
    <cellStyle name="40% - Accent1 2 4 3 2 3 2" xfId="18078"/>
    <cellStyle name="40% - Accent1 2 4 3 2 4" xfId="4139"/>
    <cellStyle name="40% - Accent1 2 4 3 2 5" xfId="12465"/>
    <cellStyle name="40% - Accent1 2 4 3 3" xfId="7305"/>
    <cellStyle name="40% - Accent1 2 4 3 3 2" xfId="15587"/>
    <cellStyle name="40% - Accent1 2 4 3 4" xfId="9799"/>
    <cellStyle name="40% - Accent1 2 4 3 4 2" xfId="18077"/>
    <cellStyle name="40% - Accent1 2 4 3 5" xfId="4138"/>
    <cellStyle name="40% - Accent1 2 4 3 6" xfId="12464"/>
    <cellStyle name="40% - Accent1 2 4 4" xfId="1226"/>
    <cellStyle name="40% - Accent1 2 4 4 2" xfId="7307"/>
    <cellStyle name="40% - Accent1 2 4 4 2 2" xfId="15589"/>
    <cellStyle name="40% - Accent1 2 4 4 3" xfId="9801"/>
    <cellStyle name="40% - Accent1 2 4 4 3 2" xfId="18079"/>
    <cellStyle name="40% - Accent1 2 4 4 4" xfId="4140"/>
    <cellStyle name="40% - Accent1 2 4 4 5" xfId="12466"/>
    <cellStyle name="40% - Accent1 2 4 5" xfId="1227"/>
    <cellStyle name="40% - Accent1 2 4 5 2" xfId="7308"/>
    <cellStyle name="40% - Accent1 2 4 5 2 2" xfId="15590"/>
    <cellStyle name="40% - Accent1 2 4 5 3" xfId="9802"/>
    <cellStyle name="40% - Accent1 2 4 5 3 2" xfId="18080"/>
    <cellStyle name="40% - Accent1 2 4 5 4" xfId="4141"/>
    <cellStyle name="40% - Accent1 2 4 5 5" xfId="12467"/>
    <cellStyle name="40% - Accent1 2 4 6" xfId="4142"/>
    <cellStyle name="40% - Accent1 2 4 6 2" xfId="12468"/>
    <cellStyle name="40% - Accent1 2 4 7" xfId="5761"/>
    <cellStyle name="40% - Accent1 2 4 7 2" xfId="14045"/>
    <cellStyle name="40% - Accent1 2 4 8" xfId="7302"/>
    <cellStyle name="40% - Accent1 2 4 8 2" xfId="15584"/>
    <cellStyle name="40% - Accent1 2 4 9" xfId="9796"/>
    <cellStyle name="40% - Accent1 2 4 9 2" xfId="18074"/>
    <cellStyle name="40% - Accent1 2 5" xfId="1228"/>
    <cellStyle name="40% - Accent1 2 5 10" xfId="4143"/>
    <cellStyle name="40% - Accent1 2 5 11" xfId="12469"/>
    <cellStyle name="40% - Accent1 2 5 2" xfId="1229"/>
    <cellStyle name="40% - Accent1 2 5 2 2" xfId="1230"/>
    <cellStyle name="40% - Accent1 2 5 2 2 2" xfId="7311"/>
    <cellStyle name="40% - Accent1 2 5 2 2 2 2" xfId="15593"/>
    <cellStyle name="40% - Accent1 2 5 2 2 3" xfId="9805"/>
    <cellStyle name="40% - Accent1 2 5 2 2 3 2" xfId="18083"/>
    <cellStyle name="40% - Accent1 2 5 2 2 4" xfId="4145"/>
    <cellStyle name="40% - Accent1 2 5 2 2 5" xfId="12471"/>
    <cellStyle name="40% - Accent1 2 5 2 3" xfId="7310"/>
    <cellStyle name="40% - Accent1 2 5 2 3 2" xfId="15592"/>
    <cellStyle name="40% - Accent1 2 5 2 4" xfId="9804"/>
    <cellStyle name="40% - Accent1 2 5 2 4 2" xfId="18082"/>
    <cellStyle name="40% - Accent1 2 5 2 5" xfId="4144"/>
    <cellStyle name="40% - Accent1 2 5 2 6" xfId="12470"/>
    <cellStyle name="40% - Accent1 2 5 3" xfId="1231"/>
    <cellStyle name="40% - Accent1 2 5 3 2" xfId="1232"/>
    <cellStyle name="40% - Accent1 2 5 3 2 2" xfId="7313"/>
    <cellStyle name="40% - Accent1 2 5 3 2 2 2" xfId="15595"/>
    <cellStyle name="40% - Accent1 2 5 3 2 3" xfId="9807"/>
    <cellStyle name="40% - Accent1 2 5 3 2 3 2" xfId="18085"/>
    <cellStyle name="40% - Accent1 2 5 3 2 4" xfId="4147"/>
    <cellStyle name="40% - Accent1 2 5 3 2 5" xfId="12473"/>
    <cellStyle name="40% - Accent1 2 5 3 3" xfId="7312"/>
    <cellStyle name="40% - Accent1 2 5 3 3 2" xfId="15594"/>
    <cellStyle name="40% - Accent1 2 5 3 4" xfId="9806"/>
    <cellStyle name="40% - Accent1 2 5 3 4 2" xfId="18084"/>
    <cellStyle name="40% - Accent1 2 5 3 5" xfId="4146"/>
    <cellStyle name="40% - Accent1 2 5 3 6" xfId="12472"/>
    <cellStyle name="40% - Accent1 2 5 4" xfId="1233"/>
    <cellStyle name="40% - Accent1 2 5 4 2" xfId="7314"/>
    <cellStyle name="40% - Accent1 2 5 4 2 2" xfId="15596"/>
    <cellStyle name="40% - Accent1 2 5 4 3" xfId="9808"/>
    <cellStyle name="40% - Accent1 2 5 4 3 2" xfId="18086"/>
    <cellStyle name="40% - Accent1 2 5 4 4" xfId="4148"/>
    <cellStyle name="40% - Accent1 2 5 4 5" xfId="12474"/>
    <cellStyle name="40% - Accent1 2 5 5" xfId="1234"/>
    <cellStyle name="40% - Accent1 2 5 5 2" xfId="7315"/>
    <cellStyle name="40% - Accent1 2 5 5 2 2" xfId="15597"/>
    <cellStyle name="40% - Accent1 2 5 5 3" xfId="9809"/>
    <cellStyle name="40% - Accent1 2 5 5 3 2" xfId="18087"/>
    <cellStyle name="40% - Accent1 2 5 5 4" xfId="4149"/>
    <cellStyle name="40% - Accent1 2 5 5 5" xfId="12475"/>
    <cellStyle name="40% - Accent1 2 5 6" xfId="4150"/>
    <cellStyle name="40% - Accent1 2 5 6 2" xfId="12476"/>
    <cellStyle name="40% - Accent1 2 5 7" xfId="5849"/>
    <cellStyle name="40% - Accent1 2 5 7 2" xfId="14131"/>
    <cellStyle name="40% - Accent1 2 5 8" xfId="7309"/>
    <cellStyle name="40% - Accent1 2 5 8 2" xfId="15591"/>
    <cellStyle name="40% - Accent1 2 5 9" xfId="9803"/>
    <cellStyle name="40% - Accent1 2 5 9 2" xfId="18081"/>
    <cellStyle name="40% - Accent1 2 6" xfId="1235"/>
    <cellStyle name="40% - Accent1 2 6 10" xfId="4151"/>
    <cellStyle name="40% - Accent1 2 6 11" xfId="12477"/>
    <cellStyle name="40% - Accent1 2 6 2" xfId="1236"/>
    <cellStyle name="40% - Accent1 2 6 2 2" xfId="1237"/>
    <cellStyle name="40% - Accent1 2 6 2 2 2" xfId="7318"/>
    <cellStyle name="40% - Accent1 2 6 2 2 2 2" xfId="15600"/>
    <cellStyle name="40% - Accent1 2 6 2 2 3" xfId="9812"/>
    <cellStyle name="40% - Accent1 2 6 2 2 3 2" xfId="18090"/>
    <cellStyle name="40% - Accent1 2 6 2 2 4" xfId="4153"/>
    <cellStyle name="40% - Accent1 2 6 2 2 5" xfId="12479"/>
    <cellStyle name="40% - Accent1 2 6 2 3" xfId="7317"/>
    <cellStyle name="40% - Accent1 2 6 2 3 2" xfId="15599"/>
    <cellStyle name="40% - Accent1 2 6 2 4" xfId="9811"/>
    <cellStyle name="40% - Accent1 2 6 2 4 2" xfId="18089"/>
    <cellStyle name="40% - Accent1 2 6 2 5" xfId="4152"/>
    <cellStyle name="40% - Accent1 2 6 2 6" xfId="12478"/>
    <cellStyle name="40% - Accent1 2 6 3" xfId="1238"/>
    <cellStyle name="40% - Accent1 2 6 3 2" xfId="1239"/>
    <cellStyle name="40% - Accent1 2 6 3 2 2" xfId="7320"/>
    <cellStyle name="40% - Accent1 2 6 3 2 2 2" xfId="15602"/>
    <cellStyle name="40% - Accent1 2 6 3 2 3" xfId="9814"/>
    <cellStyle name="40% - Accent1 2 6 3 2 3 2" xfId="18092"/>
    <cellStyle name="40% - Accent1 2 6 3 2 4" xfId="4155"/>
    <cellStyle name="40% - Accent1 2 6 3 2 5" xfId="12481"/>
    <cellStyle name="40% - Accent1 2 6 3 3" xfId="7319"/>
    <cellStyle name="40% - Accent1 2 6 3 3 2" xfId="15601"/>
    <cellStyle name="40% - Accent1 2 6 3 4" xfId="9813"/>
    <cellStyle name="40% - Accent1 2 6 3 4 2" xfId="18091"/>
    <cellStyle name="40% - Accent1 2 6 3 5" xfId="4154"/>
    <cellStyle name="40% - Accent1 2 6 3 6" xfId="12480"/>
    <cellStyle name="40% - Accent1 2 6 4" xfId="1240"/>
    <cellStyle name="40% - Accent1 2 6 4 2" xfId="7321"/>
    <cellStyle name="40% - Accent1 2 6 4 2 2" xfId="15603"/>
    <cellStyle name="40% - Accent1 2 6 4 3" xfId="9815"/>
    <cellStyle name="40% - Accent1 2 6 4 3 2" xfId="18093"/>
    <cellStyle name="40% - Accent1 2 6 4 4" xfId="4156"/>
    <cellStyle name="40% - Accent1 2 6 4 5" xfId="12482"/>
    <cellStyle name="40% - Accent1 2 6 5" xfId="1241"/>
    <cellStyle name="40% - Accent1 2 6 5 2" xfId="7322"/>
    <cellStyle name="40% - Accent1 2 6 5 2 2" xfId="15604"/>
    <cellStyle name="40% - Accent1 2 6 5 3" xfId="9816"/>
    <cellStyle name="40% - Accent1 2 6 5 3 2" xfId="18094"/>
    <cellStyle name="40% - Accent1 2 6 5 4" xfId="4157"/>
    <cellStyle name="40% - Accent1 2 6 5 5" xfId="12483"/>
    <cellStyle name="40% - Accent1 2 6 6" xfId="4158"/>
    <cellStyle name="40% - Accent1 2 6 6 2" xfId="12484"/>
    <cellStyle name="40% - Accent1 2 6 7" xfId="5947"/>
    <cellStyle name="40% - Accent1 2 6 7 2" xfId="14229"/>
    <cellStyle name="40% - Accent1 2 6 8" xfId="7316"/>
    <cellStyle name="40% - Accent1 2 6 8 2" xfId="15598"/>
    <cellStyle name="40% - Accent1 2 6 9" xfId="9810"/>
    <cellStyle name="40% - Accent1 2 6 9 2" xfId="18088"/>
    <cellStyle name="40% - Accent1 2 7" xfId="1242"/>
    <cellStyle name="40% - Accent1 2 7 10" xfId="12485"/>
    <cellStyle name="40% - Accent1 2 7 2" xfId="1243"/>
    <cellStyle name="40% - Accent1 2 7 2 2" xfId="1244"/>
    <cellStyle name="40% - Accent1 2 7 2 2 2" xfId="7325"/>
    <cellStyle name="40% - Accent1 2 7 2 2 2 2" xfId="15607"/>
    <cellStyle name="40% - Accent1 2 7 2 2 3" xfId="9819"/>
    <cellStyle name="40% - Accent1 2 7 2 2 3 2" xfId="18097"/>
    <cellStyle name="40% - Accent1 2 7 2 2 4" xfId="4161"/>
    <cellStyle name="40% - Accent1 2 7 2 2 5" xfId="12487"/>
    <cellStyle name="40% - Accent1 2 7 2 3" xfId="7324"/>
    <cellStyle name="40% - Accent1 2 7 2 3 2" xfId="15606"/>
    <cellStyle name="40% - Accent1 2 7 2 4" xfId="9818"/>
    <cellStyle name="40% - Accent1 2 7 2 4 2" xfId="18096"/>
    <cellStyle name="40% - Accent1 2 7 2 5" xfId="4160"/>
    <cellStyle name="40% - Accent1 2 7 2 6" xfId="12486"/>
    <cellStyle name="40% - Accent1 2 7 3" xfId="1245"/>
    <cellStyle name="40% - Accent1 2 7 3 2" xfId="7326"/>
    <cellStyle name="40% - Accent1 2 7 3 2 2" xfId="15608"/>
    <cellStyle name="40% - Accent1 2 7 3 3" xfId="9820"/>
    <cellStyle name="40% - Accent1 2 7 3 3 2" xfId="18098"/>
    <cellStyle name="40% - Accent1 2 7 3 4" xfId="4162"/>
    <cellStyle name="40% - Accent1 2 7 3 5" xfId="12488"/>
    <cellStyle name="40% - Accent1 2 7 4" xfId="1246"/>
    <cellStyle name="40% - Accent1 2 7 4 2" xfId="7327"/>
    <cellStyle name="40% - Accent1 2 7 4 2 2" xfId="15609"/>
    <cellStyle name="40% - Accent1 2 7 4 3" xfId="9821"/>
    <cellStyle name="40% - Accent1 2 7 4 3 2" xfId="18099"/>
    <cellStyle name="40% - Accent1 2 7 4 4" xfId="4163"/>
    <cellStyle name="40% - Accent1 2 7 4 5" xfId="12489"/>
    <cellStyle name="40% - Accent1 2 7 5" xfId="4164"/>
    <cellStyle name="40% - Accent1 2 7 5 2" xfId="12490"/>
    <cellStyle name="40% - Accent1 2 7 6" xfId="5728"/>
    <cellStyle name="40% - Accent1 2 7 6 2" xfId="14014"/>
    <cellStyle name="40% - Accent1 2 7 7" xfId="7323"/>
    <cellStyle name="40% - Accent1 2 7 7 2" xfId="15605"/>
    <cellStyle name="40% - Accent1 2 7 8" xfId="9817"/>
    <cellStyle name="40% - Accent1 2 7 8 2" xfId="18095"/>
    <cellStyle name="40% - Accent1 2 7 9" xfId="4159"/>
    <cellStyle name="40% - Accent1 2 8" xfId="1247"/>
    <cellStyle name="40% - Accent1 2 8 2" xfId="1248"/>
    <cellStyle name="40% - Accent1 2 8 2 2" xfId="7329"/>
    <cellStyle name="40% - Accent1 2 8 2 2 2" xfId="15611"/>
    <cellStyle name="40% - Accent1 2 8 2 3" xfId="9823"/>
    <cellStyle name="40% - Accent1 2 8 2 3 2" xfId="18101"/>
    <cellStyle name="40% - Accent1 2 8 2 4" xfId="4166"/>
    <cellStyle name="40% - Accent1 2 8 2 5" xfId="12492"/>
    <cellStyle name="40% - Accent1 2 8 3" xfId="7328"/>
    <cellStyle name="40% - Accent1 2 8 3 2" xfId="15610"/>
    <cellStyle name="40% - Accent1 2 8 4" xfId="9822"/>
    <cellStyle name="40% - Accent1 2 8 4 2" xfId="18100"/>
    <cellStyle name="40% - Accent1 2 8 5" xfId="4165"/>
    <cellStyle name="40% - Accent1 2 8 6" xfId="12491"/>
    <cellStyle name="40% - Accent1 2 9" xfId="1249"/>
    <cellStyle name="40% - Accent1 2 9 2" xfId="1250"/>
    <cellStyle name="40% - Accent1 2 9 2 2" xfId="7331"/>
    <cellStyle name="40% - Accent1 2 9 2 2 2" xfId="15613"/>
    <cellStyle name="40% - Accent1 2 9 2 3" xfId="9825"/>
    <cellStyle name="40% - Accent1 2 9 2 3 2" xfId="18103"/>
    <cellStyle name="40% - Accent1 2 9 2 4" xfId="4168"/>
    <cellStyle name="40% - Accent1 2 9 2 5" xfId="12494"/>
    <cellStyle name="40% - Accent1 2 9 3" xfId="7330"/>
    <cellStyle name="40% - Accent1 2 9 3 2" xfId="15612"/>
    <cellStyle name="40% - Accent1 2 9 4" xfId="9824"/>
    <cellStyle name="40% - Accent1 2 9 4 2" xfId="18102"/>
    <cellStyle name="40% - Accent1 2 9 5" xfId="4167"/>
    <cellStyle name="40% - Accent1 2 9 6" xfId="12493"/>
    <cellStyle name="40% - Accent1 20" xfId="4046"/>
    <cellStyle name="40% - Accent1 21" xfId="12372"/>
    <cellStyle name="40% - Accent1 22" xfId="19348"/>
    <cellStyle name="40% - Accent1 3" xfId="1251"/>
    <cellStyle name="40% - Accent1 3 10" xfId="5660"/>
    <cellStyle name="40% - Accent1 3 10 2" xfId="13947"/>
    <cellStyle name="40% - Accent1 3 11" xfId="7332"/>
    <cellStyle name="40% - Accent1 3 11 2" xfId="15614"/>
    <cellStyle name="40% - Accent1 3 12" xfId="9826"/>
    <cellStyle name="40% - Accent1 3 12 2" xfId="18104"/>
    <cellStyle name="40% - Accent1 3 13" xfId="4169"/>
    <cellStyle name="40% - Accent1 3 14" xfId="12495"/>
    <cellStyle name="40% - Accent1 3 2" xfId="1252"/>
    <cellStyle name="40% - Accent1 3 2 10" xfId="4170"/>
    <cellStyle name="40% - Accent1 3 2 11" xfId="12496"/>
    <cellStyle name="40% - Accent1 3 2 2" xfId="1253"/>
    <cellStyle name="40% - Accent1 3 2 2 2" xfId="1254"/>
    <cellStyle name="40% - Accent1 3 2 2 2 2" xfId="7335"/>
    <cellStyle name="40% - Accent1 3 2 2 2 2 2" xfId="15617"/>
    <cellStyle name="40% - Accent1 3 2 2 2 3" xfId="9829"/>
    <cellStyle name="40% - Accent1 3 2 2 2 3 2" xfId="18107"/>
    <cellStyle name="40% - Accent1 3 2 2 2 4" xfId="4172"/>
    <cellStyle name="40% - Accent1 3 2 2 2 5" xfId="12498"/>
    <cellStyle name="40% - Accent1 3 2 2 3" xfId="7334"/>
    <cellStyle name="40% - Accent1 3 2 2 3 2" xfId="15616"/>
    <cellStyle name="40% - Accent1 3 2 2 4" xfId="9828"/>
    <cellStyle name="40% - Accent1 3 2 2 4 2" xfId="18106"/>
    <cellStyle name="40% - Accent1 3 2 2 5" xfId="4171"/>
    <cellStyle name="40% - Accent1 3 2 2 6" xfId="12497"/>
    <cellStyle name="40% - Accent1 3 2 3" xfId="1255"/>
    <cellStyle name="40% - Accent1 3 2 3 2" xfId="1256"/>
    <cellStyle name="40% - Accent1 3 2 3 2 2" xfId="7337"/>
    <cellStyle name="40% - Accent1 3 2 3 2 2 2" xfId="15619"/>
    <cellStyle name="40% - Accent1 3 2 3 2 3" xfId="9831"/>
    <cellStyle name="40% - Accent1 3 2 3 2 3 2" xfId="18109"/>
    <cellStyle name="40% - Accent1 3 2 3 2 4" xfId="4174"/>
    <cellStyle name="40% - Accent1 3 2 3 2 5" xfId="12500"/>
    <cellStyle name="40% - Accent1 3 2 3 3" xfId="7336"/>
    <cellStyle name="40% - Accent1 3 2 3 3 2" xfId="15618"/>
    <cellStyle name="40% - Accent1 3 2 3 4" xfId="9830"/>
    <cellStyle name="40% - Accent1 3 2 3 4 2" xfId="18108"/>
    <cellStyle name="40% - Accent1 3 2 3 5" xfId="4173"/>
    <cellStyle name="40% - Accent1 3 2 3 6" xfId="12499"/>
    <cellStyle name="40% - Accent1 3 2 4" xfId="1257"/>
    <cellStyle name="40% - Accent1 3 2 4 2" xfId="7338"/>
    <cellStyle name="40% - Accent1 3 2 4 2 2" xfId="15620"/>
    <cellStyle name="40% - Accent1 3 2 4 3" xfId="9832"/>
    <cellStyle name="40% - Accent1 3 2 4 3 2" xfId="18110"/>
    <cellStyle name="40% - Accent1 3 2 4 4" xfId="4175"/>
    <cellStyle name="40% - Accent1 3 2 4 5" xfId="12501"/>
    <cellStyle name="40% - Accent1 3 2 5" xfId="1258"/>
    <cellStyle name="40% - Accent1 3 2 5 2" xfId="7339"/>
    <cellStyle name="40% - Accent1 3 2 5 2 2" xfId="15621"/>
    <cellStyle name="40% - Accent1 3 2 5 3" xfId="9833"/>
    <cellStyle name="40% - Accent1 3 2 5 3 2" xfId="18111"/>
    <cellStyle name="40% - Accent1 3 2 5 4" xfId="4176"/>
    <cellStyle name="40% - Accent1 3 2 5 5" xfId="12502"/>
    <cellStyle name="40% - Accent1 3 2 6" xfId="4177"/>
    <cellStyle name="40% - Accent1 3 2 6 2" xfId="12503"/>
    <cellStyle name="40% - Accent1 3 2 7" xfId="5863"/>
    <cellStyle name="40% - Accent1 3 2 7 2" xfId="14145"/>
    <cellStyle name="40% - Accent1 3 2 8" xfId="7333"/>
    <cellStyle name="40% - Accent1 3 2 8 2" xfId="15615"/>
    <cellStyle name="40% - Accent1 3 2 9" xfId="9827"/>
    <cellStyle name="40% - Accent1 3 2 9 2" xfId="18105"/>
    <cellStyle name="40% - Accent1 3 3" xfId="1259"/>
    <cellStyle name="40% - Accent1 3 3 10" xfId="4178"/>
    <cellStyle name="40% - Accent1 3 3 11" xfId="12504"/>
    <cellStyle name="40% - Accent1 3 3 2" xfId="1260"/>
    <cellStyle name="40% - Accent1 3 3 2 2" xfId="1261"/>
    <cellStyle name="40% - Accent1 3 3 2 2 2" xfId="7342"/>
    <cellStyle name="40% - Accent1 3 3 2 2 2 2" xfId="15624"/>
    <cellStyle name="40% - Accent1 3 3 2 2 3" xfId="9836"/>
    <cellStyle name="40% - Accent1 3 3 2 2 3 2" xfId="18114"/>
    <cellStyle name="40% - Accent1 3 3 2 2 4" xfId="4180"/>
    <cellStyle name="40% - Accent1 3 3 2 2 5" xfId="12506"/>
    <cellStyle name="40% - Accent1 3 3 2 3" xfId="7341"/>
    <cellStyle name="40% - Accent1 3 3 2 3 2" xfId="15623"/>
    <cellStyle name="40% - Accent1 3 3 2 4" xfId="9835"/>
    <cellStyle name="40% - Accent1 3 3 2 4 2" xfId="18113"/>
    <cellStyle name="40% - Accent1 3 3 2 5" xfId="4179"/>
    <cellStyle name="40% - Accent1 3 3 2 6" xfId="12505"/>
    <cellStyle name="40% - Accent1 3 3 3" xfId="1262"/>
    <cellStyle name="40% - Accent1 3 3 3 2" xfId="1263"/>
    <cellStyle name="40% - Accent1 3 3 3 2 2" xfId="7344"/>
    <cellStyle name="40% - Accent1 3 3 3 2 2 2" xfId="15626"/>
    <cellStyle name="40% - Accent1 3 3 3 2 3" xfId="9838"/>
    <cellStyle name="40% - Accent1 3 3 3 2 3 2" xfId="18116"/>
    <cellStyle name="40% - Accent1 3 3 3 2 4" xfId="4182"/>
    <cellStyle name="40% - Accent1 3 3 3 2 5" xfId="12508"/>
    <cellStyle name="40% - Accent1 3 3 3 3" xfId="7343"/>
    <cellStyle name="40% - Accent1 3 3 3 3 2" xfId="15625"/>
    <cellStyle name="40% - Accent1 3 3 3 4" xfId="9837"/>
    <cellStyle name="40% - Accent1 3 3 3 4 2" xfId="18115"/>
    <cellStyle name="40% - Accent1 3 3 3 5" xfId="4181"/>
    <cellStyle name="40% - Accent1 3 3 3 6" xfId="12507"/>
    <cellStyle name="40% - Accent1 3 3 4" xfId="1264"/>
    <cellStyle name="40% - Accent1 3 3 4 2" xfId="7345"/>
    <cellStyle name="40% - Accent1 3 3 4 2 2" xfId="15627"/>
    <cellStyle name="40% - Accent1 3 3 4 3" xfId="9839"/>
    <cellStyle name="40% - Accent1 3 3 4 3 2" xfId="18117"/>
    <cellStyle name="40% - Accent1 3 3 4 4" xfId="4183"/>
    <cellStyle name="40% - Accent1 3 3 4 5" xfId="12509"/>
    <cellStyle name="40% - Accent1 3 3 5" xfId="1265"/>
    <cellStyle name="40% - Accent1 3 3 5 2" xfId="7346"/>
    <cellStyle name="40% - Accent1 3 3 5 2 2" xfId="15628"/>
    <cellStyle name="40% - Accent1 3 3 5 3" xfId="9840"/>
    <cellStyle name="40% - Accent1 3 3 5 3 2" xfId="18118"/>
    <cellStyle name="40% - Accent1 3 3 5 4" xfId="4184"/>
    <cellStyle name="40% - Accent1 3 3 5 5" xfId="12510"/>
    <cellStyle name="40% - Accent1 3 3 6" xfId="4185"/>
    <cellStyle name="40% - Accent1 3 3 6 2" xfId="12511"/>
    <cellStyle name="40% - Accent1 3 3 7" xfId="5961"/>
    <cellStyle name="40% - Accent1 3 3 7 2" xfId="14243"/>
    <cellStyle name="40% - Accent1 3 3 8" xfId="7340"/>
    <cellStyle name="40% - Accent1 3 3 8 2" xfId="15622"/>
    <cellStyle name="40% - Accent1 3 3 9" xfId="9834"/>
    <cellStyle name="40% - Accent1 3 3 9 2" xfId="18112"/>
    <cellStyle name="40% - Accent1 3 4" xfId="1266"/>
    <cellStyle name="40% - Accent1 3 4 10" xfId="12512"/>
    <cellStyle name="40% - Accent1 3 4 2" xfId="1267"/>
    <cellStyle name="40% - Accent1 3 4 2 2" xfId="1268"/>
    <cellStyle name="40% - Accent1 3 4 2 2 2" xfId="7349"/>
    <cellStyle name="40% - Accent1 3 4 2 2 2 2" xfId="15631"/>
    <cellStyle name="40% - Accent1 3 4 2 2 3" xfId="9843"/>
    <cellStyle name="40% - Accent1 3 4 2 2 3 2" xfId="18121"/>
    <cellStyle name="40% - Accent1 3 4 2 2 4" xfId="4188"/>
    <cellStyle name="40% - Accent1 3 4 2 2 5" xfId="12514"/>
    <cellStyle name="40% - Accent1 3 4 2 3" xfId="7348"/>
    <cellStyle name="40% - Accent1 3 4 2 3 2" xfId="15630"/>
    <cellStyle name="40% - Accent1 3 4 2 4" xfId="9842"/>
    <cellStyle name="40% - Accent1 3 4 2 4 2" xfId="18120"/>
    <cellStyle name="40% - Accent1 3 4 2 5" xfId="4187"/>
    <cellStyle name="40% - Accent1 3 4 2 6" xfId="12513"/>
    <cellStyle name="40% - Accent1 3 4 3" xfId="1269"/>
    <cellStyle name="40% - Accent1 3 4 3 2" xfId="7350"/>
    <cellStyle name="40% - Accent1 3 4 3 2 2" xfId="15632"/>
    <cellStyle name="40% - Accent1 3 4 3 3" xfId="9844"/>
    <cellStyle name="40% - Accent1 3 4 3 3 2" xfId="18122"/>
    <cellStyle name="40% - Accent1 3 4 3 4" xfId="4189"/>
    <cellStyle name="40% - Accent1 3 4 3 5" xfId="12515"/>
    <cellStyle name="40% - Accent1 3 4 4" xfId="1270"/>
    <cellStyle name="40% - Accent1 3 4 4 2" xfId="7351"/>
    <cellStyle name="40% - Accent1 3 4 4 2 2" xfId="15633"/>
    <cellStyle name="40% - Accent1 3 4 4 3" xfId="9845"/>
    <cellStyle name="40% - Accent1 3 4 4 3 2" xfId="18123"/>
    <cellStyle name="40% - Accent1 3 4 4 4" xfId="4190"/>
    <cellStyle name="40% - Accent1 3 4 4 5" xfId="12516"/>
    <cellStyle name="40% - Accent1 3 4 5" xfId="4191"/>
    <cellStyle name="40% - Accent1 3 4 5 2" xfId="12517"/>
    <cellStyle name="40% - Accent1 3 4 6" xfId="5777"/>
    <cellStyle name="40% - Accent1 3 4 6 2" xfId="14059"/>
    <cellStyle name="40% - Accent1 3 4 7" xfId="7347"/>
    <cellStyle name="40% - Accent1 3 4 7 2" xfId="15629"/>
    <cellStyle name="40% - Accent1 3 4 8" xfId="9841"/>
    <cellStyle name="40% - Accent1 3 4 8 2" xfId="18119"/>
    <cellStyle name="40% - Accent1 3 4 9" xfId="4186"/>
    <cellStyle name="40% - Accent1 3 5" xfId="1271"/>
    <cellStyle name="40% - Accent1 3 5 2" xfId="1272"/>
    <cellStyle name="40% - Accent1 3 5 2 2" xfId="7353"/>
    <cellStyle name="40% - Accent1 3 5 2 2 2" xfId="15635"/>
    <cellStyle name="40% - Accent1 3 5 2 3" xfId="9847"/>
    <cellStyle name="40% - Accent1 3 5 2 3 2" xfId="18125"/>
    <cellStyle name="40% - Accent1 3 5 2 4" xfId="4193"/>
    <cellStyle name="40% - Accent1 3 5 2 5" xfId="12519"/>
    <cellStyle name="40% - Accent1 3 5 3" xfId="7352"/>
    <cellStyle name="40% - Accent1 3 5 3 2" xfId="15634"/>
    <cellStyle name="40% - Accent1 3 5 4" xfId="9846"/>
    <cellStyle name="40% - Accent1 3 5 4 2" xfId="18124"/>
    <cellStyle name="40% - Accent1 3 5 5" xfId="4192"/>
    <cellStyle name="40% - Accent1 3 5 6" xfId="12518"/>
    <cellStyle name="40% - Accent1 3 6" xfId="1273"/>
    <cellStyle name="40% - Accent1 3 6 2" xfId="1274"/>
    <cellStyle name="40% - Accent1 3 6 2 2" xfId="7355"/>
    <cellStyle name="40% - Accent1 3 6 2 2 2" xfId="15637"/>
    <cellStyle name="40% - Accent1 3 6 2 3" xfId="9849"/>
    <cellStyle name="40% - Accent1 3 6 2 3 2" xfId="18127"/>
    <cellStyle name="40% - Accent1 3 6 2 4" xfId="4195"/>
    <cellStyle name="40% - Accent1 3 6 2 5" xfId="12521"/>
    <cellStyle name="40% - Accent1 3 6 3" xfId="7354"/>
    <cellStyle name="40% - Accent1 3 6 3 2" xfId="15636"/>
    <cellStyle name="40% - Accent1 3 6 4" xfId="9848"/>
    <cellStyle name="40% - Accent1 3 6 4 2" xfId="18126"/>
    <cellStyle name="40% - Accent1 3 6 5" xfId="4194"/>
    <cellStyle name="40% - Accent1 3 6 6" xfId="12520"/>
    <cellStyle name="40% - Accent1 3 7" xfId="1275"/>
    <cellStyle name="40% - Accent1 3 7 2" xfId="7356"/>
    <cellStyle name="40% - Accent1 3 7 2 2" xfId="15638"/>
    <cellStyle name="40% - Accent1 3 7 3" xfId="9850"/>
    <cellStyle name="40% - Accent1 3 7 3 2" xfId="18128"/>
    <cellStyle name="40% - Accent1 3 7 4" xfId="4196"/>
    <cellStyle name="40% - Accent1 3 7 5" xfId="12522"/>
    <cellStyle name="40% - Accent1 3 8" xfId="1276"/>
    <cellStyle name="40% - Accent1 3 8 2" xfId="7357"/>
    <cellStyle name="40% - Accent1 3 8 2 2" xfId="15639"/>
    <cellStyle name="40% - Accent1 3 8 3" xfId="9851"/>
    <cellStyle name="40% - Accent1 3 8 3 2" xfId="18129"/>
    <cellStyle name="40% - Accent1 3 8 4" xfId="4197"/>
    <cellStyle name="40% - Accent1 3 8 5" xfId="12523"/>
    <cellStyle name="40% - Accent1 3 9" xfId="4198"/>
    <cellStyle name="40% - Accent1 3 9 2" xfId="12524"/>
    <cellStyle name="40% - Accent1 4" xfId="1277"/>
    <cellStyle name="40% - Accent1 4 10" xfId="5689"/>
    <cellStyle name="40% - Accent1 4 10 2" xfId="13975"/>
    <cellStyle name="40% - Accent1 4 11" xfId="7358"/>
    <cellStyle name="40% - Accent1 4 11 2" xfId="15640"/>
    <cellStyle name="40% - Accent1 4 12" xfId="9852"/>
    <cellStyle name="40% - Accent1 4 12 2" xfId="18130"/>
    <cellStyle name="40% - Accent1 4 13" xfId="4199"/>
    <cellStyle name="40% - Accent1 4 14" xfId="12525"/>
    <cellStyle name="40% - Accent1 4 2" xfId="1278"/>
    <cellStyle name="40% - Accent1 4 2 10" xfId="4200"/>
    <cellStyle name="40% - Accent1 4 2 11" xfId="12526"/>
    <cellStyle name="40% - Accent1 4 2 2" xfId="1279"/>
    <cellStyle name="40% - Accent1 4 2 2 2" xfId="1280"/>
    <cellStyle name="40% - Accent1 4 2 2 2 2" xfId="7361"/>
    <cellStyle name="40% - Accent1 4 2 2 2 2 2" xfId="15643"/>
    <cellStyle name="40% - Accent1 4 2 2 2 3" xfId="9855"/>
    <cellStyle name="40% - Accent1 4 2 2 2 3 2" xfId="18133"/>
    <cellStyle name="40% - Accent1 4 2 2 2 4" xfId="4202"/>
    <cellStyle name="40% - Accent1 4 2 2 2 5" xfId="12528"/>
    <cellStyle name="40% - Accent1 4 2 2 3" xfId="7360"/>
    <cellStyle name="40% - Accent1 4 2 2 3 2" xfId="15642"/>
    <cellStyle name="40% - Accent1 4 2 2 4" xfId="9854"/>
    <cellStyle name="40% - Accent1 4 2 2 4 2" xfId="18132"/>
    <cellStyle name="40% - Accent1 4 2 2 5" xfId="4201"/>
    <cellStyle name="40% - Accent1 4 2 2 6" xfId="12527"/>
    <cellStyle name="40% - Accent1 4 2 3" xfId="1281"/>
    <cellStyle name="40% - Accent1 4 2 3 2" xfId="1282"/>
    <cellStyle name="40% - Accent1 4 2 3 2 2" xfId="7363"/>
    <cellStyle name="40% - Accent1 4 2 3 2 2 2" xfId="15645"/>
    <cellStyle name="40% - Accent1 4 2 3 2 3" xfId="9857"/>
    <cellStyle name="40% - Accent1 4 2 3 2 3 2" xfId="18135"/>
    <cellStyle name="40% - Accent1 4 2 3 2 4" xfId="4204"/>
    <cellStyle name="40% - Accent1 4 2 3 2 5" xfId="12530"/>
    <cellStyle name="40% - Accent1 4 2 3 3" xfId="7362"/>
    <cellStyle name="40% - Accent1 4 2 3 3 2" xfId="15644"/>
    <cellStyle name="40% - Accent1 4 2 3 4" xfId="9856"/>
    <cellStyle name="40% - Accent1 4 2 3 4 2" xfId="18134"/>
    <cellStyle name="40% - Accent1 4 2 3 5" xfId="4203"/>
    <cellStyle name="40% - Accent1 4 2 3 6" xfId="12529"/>
    <cellStyle name="40% - Accent1 4 2 4" xfId="1283"/>
    <cellStyle name="40% - Accent1 4 2 4 2" xfId="7364"/>
    <cellStyle name="40% - Accent1 4 2 4 2 2" xfId="15646"/>
    <cellStyle name="40% - Accent1 4 2 4 3" xfId="9858"/>
    <cellStyle name="40% - Accent1 4 2 4 3 2" xfId="18136"/>
    <cellStyle name="40% - Accent1 4 2 4 4" xfId="4205"/>
    <cellStyle name="40% - Accent1 4 2 4 5" xfId="12531"/>
    <cellStyle name="40% - Accent1 4 2 5" xfId="1284"/>
    <cellStyle name="40% - Accent1 4 2 5 2" xfId="7365"/>
    <cellStyle name="40% - Accent1 4 2 5 2 2" xfId="15647"/>
    <cellStyle name="40% - Accent1 4 2 5 3" xfId="9859"/>
    <cellStyle name="40% - Accent1 4 2 5 3 2" xfId="18137"/>
    <cellStyle name="40% - Accent1 4 2 5 4" xfId="4206"/>
    <cellStyle name="40% - Accent1 4 2 5 5" xfId="12532"/>
    <cellStyle name="40% - Accent1 4 2 6" xfId="4207"/>
    <cellStyle name="40% - Accent1 4 2 6 2" xfId="12533"/>
    <cellStyle name="40% - Accent1 4 2 7" xfId="5891"/>
    <cellStyle name="40% - Accent1 4 2 7 2" xfId="14173"/>
    <cellStyle name="40% - Accent1 4 2 8" xfId="7359"/>
    <cellStyle name="40% - Accent1 4 2 8 2" xfId="15641"/>
    <cellStyle name="40% - Accent1 4 2 9" xfId="9853"/>
    <cellStyle name="40% - Accent1 4 2 9 2" xfId="18131"/>
    <cellStyle name="40% - Accent1 4 3" xfId="1285"/>
    <cellStyle name="40% - Accent1 4 3 10" xfId="4208"/>
    <cellStyle name="40% - Accent1 4 3 11" xfId="12534"/>
    <cellStyle name="40% - Accent1 4 3 2" xfId="1286"/>
    <cellStyle name="40% - Accent1 4 3 2 2" xfId="1287"/>
    <cellStyle name="40% - Accent1 4 3 2 2 2" xfId="7368"/>
    <cellStyle name="40% - Accent1 4 3 2 2 2 2" xfId="15650"/>
    <cellStyle name="40% - Accent1 4 3 2 2 3" xfId="9862"/>
    <cellStyle name="40% - Accent1 4 3 2 2 3 2" xfId="18140"/>
    <cellStyle name="40% - Accent1 4 3 2 2 4" xfId="4210"/>
    <cellStyle name="40% - Accent1 4 3 2 2 5" xfId="12536"/>
    <cellStyle name="40% - Accent1 4 3 2 3" xfId="7367"/>
    <cellStyle name="40% - Accent1 4 3 2 3 2" xfId="15649"/>
    <cellStyle name="40% - Accent1 4 3 2 4" xfId="9861"/>
    <cellStyle name="40% - Accent1 4 3 2 4 2" xfId="18139"/>
    <cellStyle name="40% - Accent1 4 3 2 5" xfId="4209"/>
    <cellStyle name="40% - Accent1 4 3 2 6" xfId="12535"/>
    <cellStyle name="40% - Accent1 4 3 3" xfId="1288"/>
    <cellStyle name="40% - Accent1 4 3 3 2" xfId="1289"/>
    <cellStyle name="40% - Accent1 4 3 3 2 2" xfId="7370"/>
    <cellStyle name="40% - Accent1 4 3 3 2 2 2" xfId="15652"/>
    <cellStyle name="40% - Accent1 4 3 3 2 3" xfId="9864"/>
    <cellStyle name="40% - Accent1 4 3 3 2 3 2" xfId="18142"/>
    <cellStyle name="40% - Accent1 4 3 3 2 4" xfId="4212"/>
    <cellStyle name="40% - Accent1 4 3 3 2 5" xfId="12538"/>
    <cellStyle name="40% - Accent1 4 3 3 3" xfId="7369"/>
    <cellStyle name="40% - Accent1 4 3 3 3 2" xfId="15651"/>
    <cellStyle name="40% - Accent1 4 3 3 4" xfId="9863"/>
    <cellStyle name="40% - Accent1 4 3 3 4 2" xfId="18141"/>
    <cellStyle name="40% - Accent1 4 3 3 5" xfId="4211"/>
    <cellStyle name="40% - Accent1 4 3 3 6" xfId="12537"/>
    <cellStyle name="40% - Accent1 4 3 4" xfId="1290"/>
    <cellStyle name="40% - Accent1 4 3 4 2" xfId="7371"/>
    <cellStyle name="40% - Accent1 4 3 4 2 2" xfId="15653"/>
    <cellStyle name="40% - Accent1 4 3 4 3" xfId="9865"/>
    <cellStyle name="40% - Accent1 4 3 4 3 2" xfId="18143"/>
    <cellStyle name="40% - Accent1 4 3 4 4" xfId="4213"/>
    <cellStyle name="40% - Accent1 4 3 4 5" xfId="12539"/>
    <cellStyle name="40% - Accent1 4 3 5" xfId="1291"/>
    <cellStyle name="40% - Accent1 4 3 5 2" xfId="7372"/>
    <cellStyle name="40% - Accent1 4 3 5 2 2" xfId="15654"/>
    <cellStyle name="40% - Accent1 4 3 5 3" xfId="9866"/>
    <cellStyle name="40% - Accent1 4 3 5 3 2" xfId="18144"/>
    <cellStyle name="40% - Accent1 4 3 5 4" xfId="4214"/>
    <cellStyle name="40% - Accent1 4 3 5 5" xfId="12540"/>
    <cellStyle name="40% - Accent1 4 3 6" xfId="4215"/>
    <cellStyle name="40% - Accent1 4 3 6 2" xfId="12541"/>
    <cellStyle name="40% - Accent1 4 3 7" xfId="5989"/>
    <cellStyle name="40% - Accent1 4 3 7 2" xfId="14271"/>
    <cellStyle name="40% - Accent1 4 3 8" xfId="7366"/>
    <cellStyle name="40% - Accent1 4 3 8 2" xfId="15648"/>
    <cellStyle name="40% - Accent1 4 3 9" xfId="9860"/>
    <cellStyle name="40% - Accent1 4 3 9 2" xfId="18138"/>
    <cellStyle name="40% - Accent1 4 4" xfId="1292"/>
    <cellStyle name="40% - Accent1 4 4 10" xfId="12542"/>
    <cellStyle name="40% - Accent1 4 4 2" xfId="1293"/>
    <cellStyle name="40% - Accent1 4 4 2 2" xfId="1294"/>
    <cellStyle name="40% - Accent1 4 4 2 2 2" xfId="7375"/>
    <cellStyle name="40% - Accent1 4 4 2 2 2 2" xfId="15657"/>
    <cellStyle name="40% - Accent1 4 4 2 2 3" xfId="9869"/>
    <cellStyle name="40% - Accent1 4 4 2 2 3 2" xfId="18147"/>
    <cellStyle name="40% - Accent1 4 4 2 2 4" xfId="4218"/>
    <cellStyle name="40% - Accent1 4 4 2 2 5" xfId="12544"/>
    <cellStyle name="40% - Accent1 4 4 2 3" xfId="7374"/>
    <cellStyle name="40% - Accent1 4 4 2 3 2" xfId="15656"/>
    <cellStyle name="40% - Accent1 4 4 2 4" xfId="9868"/>
    <cellStyle name="40% - Accent1 4 4 2 4 2" xfId="18146"/>
    <cellStyle name="40% - Accent1 4 4 2 5" xfId="4217"/>
    <cellStyle name="40% - Accent1 4 4 2 6" xfId="12543"/>
    <cellStyle name="40% - Accent1 4 4 3" xfId="1295"/>
    <cellStyle name="40% - Accent1 4 4 3 2" xfId="7376"/>
    <cellStyle name="40% - Accent1 4 4 3 2 2" xfId="15658"/>
    <cellStyle name="40% - Accent1 4 4 3 3" xfId="9870"/>
    <cellStyle name="40% - Accent1 4 4 3 3 2" xfId="18148"/>
    <cellStyle name="40% - Accent1 4 4 3 4" xfId="4219"/>
    <cellStyle name="40% - Accent1 4 4 3 5" xfId="12545"/>
    <cellStyle name="40% - Accent1 4 4 4" xfId="1296"/>
    <cellStyle name="40% - Accent1 4 4 4 2" xfId="7377"/>
    <cellStyle name="40% - Accent1 4 4 4 2 2" xfId="15659"/>
    <cellStyle name="40% - Accent1 4 4 4 3" xfId="9871"/>
    <cellStyle name="40% - Accent1 4 4 4 3 2" xfId="18149"/>
    <cellStyle name="40% - Accent1 4 4 4 4" xfId="4220"/>
    <cellStyle name="40% - Accent1 4 4 4 5" xfId="12546"/>
    <cellStyle name="40% - Accent1 4 4 5" xfId="4221"/>
    <cellStyle name="40% - Accent1 4 4 5 2" xfId="12547"/>
    <cellStyle name="40% - Accent1 4 4 6" xfId="5805"/>
    <cellStyle name="40% - Accent1 4 4 6 2" xfId="14087"/>
    <cellStyle name="40% - Accent1 4 4 7" xfId="7373"/>
    <cellStyle name="40% - Accent1 4 4 7 2" xfId="15655"/>
    <cellStyle name="40% - Accent1 4 4 8" xfId="9867"/>
    <cellStyle name="40% - Accent1 4 4 8 2" xfId="18145"/>
    <cellStyle name="40% - Accent1 4 4 9" xfId="4216"/>
    <cellStyle name="40% - Accent1 4 5" xfId="1297"/>
    <cellStyle name="40% - Accent1 4 5 2" xfId="1298"/>
    <cellStyle name="40% - Accent1 4 5 2 2" xfId="7379"/>
    <cellStyle name="40% - Accent1 4 5 2 2 2" xfId="15661"/>
    <cellStyle name="40% - Accent1 4 5 2 3" xfId="9873"/>
    <cellStyle name="40% - Accent1 4 5 2 3 2" xfId="18151"/>
    <cellStyle name="40% - Accent1 4 5 2 4" xfId="4223"/>
    <cellStyle name="40% - Accent1 4 5 2 5" xfId="12549"/>
    <cellStyle name="40% - Accent1 4 5 3" xfId="7378"/>
    <cellStyle name="40% - Accent1 4 5 3 2" xfId="15660"/>
    <cellStyle name="40% - Accent1 4 5 4" xfId="9872"/>
    <cellStyle name="40% - Accent1 4 5 4 2" xfId="18150"/>
    <cellStyle name="40% - Accent1 4 5 5" xfId="4222"/>
    <cellStyle name="40% - Accent1 4 5 6" xfId="12548"/>
    <cellStyle name="40% - Accent1 4 6" xfId="1299"/>
    <cellStyle name="40% - Accent1 4 6 2" xfId="1300"/>
    <cellStyle name="40% - Accent1 4 6 2 2" xfId="7381"/>
    <cellStyle name="40% - Accent1 4 6 2 2 2" xfId="15663"/>
    <cellStyle name="40% - Accent1 4 6 2 3" xfId="9875"/>
    <cellStyle name="40% - Accent1 4 6 2 3 2" xfId="18153"/>
    <cellStyle name="40% - Accent1 4 6 2 4" xfId="4225"/>
    <cellStyle name="40% - Accent1 4 6 2 5" xfId="12551"/>
    <cellStyle name="40% - Accent1 4 6 3" xfId="7380"/>
    <cellStyle name="40% - Accent1 4 6 3 2" xfId="15662"/>
    <cellStyle name="40% - Accent1 4 6 4" xfId="9874"/>
    <cellStyle name="40% - Accent1 4 6 4 2" xfId="18152"/>
    <cellStyle name="40% - Accent1 4 6 5" xfId="4224"/>
    <cellStyle name="40% - Accent1 4 6 6" xfId="12550"/>
    <cellStyle name="40% - Accent1 4 7" xfId="1301"/>
    <cellStyle name="40% - Accent1 4 7 2" xfId="7382"/>
    <cellStyle name="40% - Accent1 4 7 2 2" xfId="15664"/>
    <cellStyle name="40% - Accent1 4 7 3" xfId="9876"/>
    <cellStyle name="40% - Accent1 4 7 3 2" xfId="18154"/>
    <cellStyle name="40% - Accent1 4 7 4" xfId="4226"/>
    <cellStyle name="40% - Accent1 4 7 5" xfId="12552"/>
    <cellStyle name="40% - Accent1 4 8" xfId="1302"/>
    <cellStyle name="40% - Accent1 4 8 2" xfId="7383"/>
    <cellStyle name="40% - Accent1 4 8 2 2" xfId="15665"/>
    <cellStyle name="40% - Accent1 4 8 3" xfId="9877"/>
    <cellStyle name="40% - Accent1 4 8 3 2" xfId="18155"/>
    <cellStyle name="40% - Accent1 4 8 4" xfId="4227"/>
    <cellStyle name="40% - Accent1 4 8 5" xfId="12553"/>
    <cellStyle name="40% - Accent1 4 9" xfId="4228"/>
    <cellStyle name="40% - Accent1 4 9 2" xfId="12554"/>
    <cellStyle name="40% - Accent1 5" xfId="1303"/>
    <cellStyle name="40% - Accent1 5 10" xfId="4229"/>
    <cellStyle name="40% - Accent1 5 11" xfId="12555"/>
    <cellStyle name="40% - Accent1 5 2" xfId="1304"/>
    <cellStyle name="40% - Accent1 5 2 2" xfId="1305"/>
    <cellStyle name="40% - Accent1 5 2 2 2" xfId="7386"/>
    <cellStyle name="40% - Accent1 5 2 2 2 2" xfId="15668"/>
    <cellStyle name="40% - Accent1 5 2 2 3" xfId="9880"/>
    <cellStyle name="40% - Accent1 5 2 2 3 2" xfId="18158"/>
    <cellStyle name="40% - Accent1 5 2 2 4" xfId="4231"/>
    <cellStyle name="40% - Accent1 5 2 2 5" xfId="12557"/>
    <cellStyle name="40% - Accent1 5 2 3" xfId="7385"/>
    <cellStyle name="40% - Accent1 5 2 3 2" xfId="15667"/>
    <cellStyle name="40% - Accent1 5 2 4" xfId="9879"/>
    <cellStyle name="40% - Accent1 5 2 4 2" xfId="18157"/>
    <cellStyle name="40% - Accent1 5 2 5" xfId="4230"/>
    <cellStyle name="40% - Accent1 5 2 6" xfId="12556"/>
    <cellStyle name="40% - Accent1 5 3" xfId="1306"/>
    <cellStyle name="40% - Accent1 5 3 2" xfId="1307"/>
    <cellStyle name="40% - Accent1 5 3 2 2" xfId="7388"/>
    <cellStyle name="40% - Accent1 5 3 2 2 2" xfId="15670"/>
    <cellStyle name="40% - Accent1 5 3 2 3" xfId="9882"/>
    <cellStyle name="40% - Accent1 5 3 2 3 2" xfId="18160"/>
    <cellStyle name="40% - Accent1 5 3 2 4" xfId="4233"/>
    <cellStyle name="40% - Accent1 5 3 2 5" xfId="12559"/>
    <cellStyle name="40% - Accent1 5 3 3" xfId="7387"/>
    <cellStyle name="40% - Accent1 5 3 3 2" xfId="15669"/>
    <cellStyle name="40% - Accent1 5 3 4" xfId="9881"/>
    <cellStyle name="40% - Accent1 5 3 4 2" xfId="18159"/>
    <cellStyle name="40% - Accent1 5 3 5" xfId="4232"/>
    <cellStyle name="40% - Accent1 5 3 6" xfId="12558"/>
    <cellStyle name="40% - Accent1 5 4" xfId="1308"/>
    <cellStyle name="40% - Accent1 5 4 2" xfId="7389"/>
    <cellStyle name="40% - Accent1 5 4 2 2" xfId="15671"/>
    <cellStyle name="40% - Accent1 5 4 3" xfId="9883"/>
    <cellStyle name="40% - Accent1 5 4 3 2" xfId="18161"/>
    <cellStyle name="40% - Accent1 5 4 4" xfId="4234"/>
    <cellStyle name="40% - Accent1 5 4 5" xfId="12560"/>
    <cellStyle name="40% - Accent1 5 5" xfId="1309"/>
    <cellStyle name="40% - Accent1 5 5 2" xfId="7390"/>
    <cellStyle name="40% - Accent1 5 5 2 2" xfId="15672"/>
    <cellStyle name="40% - Accent1 5 5 3" xfId="9884"/>
    <cellStyle name="40% - Accent1 5 5 3 2" xfId="18162"/>
    <cellStyle name="40% - Accent1 5 5 4" xfId="4235"/>
    <cellStyle name="40% - Accent1 5 5 5" xfId="12561"/>
    <cellStyle name="40% - Accent1 5 6" xfId="4236"/>
    <cellStyle name="40% - Accent1 5 6 2" xfId="12562"/>
    <cellStyle name="40% - Accent1 5 7" xfId="5741"/>
    <cellStyle name="40% - Accent1 5 7 2" xfId="14026"/>
    <cellStyle name="40% - Accent1 5 8" xfId="7384"/>
    <cellStyle name="40% - Accent1 5 8 2" xfId="15666"/>
    <cellStyle name="40% - Accent1 5 9" xfId="9878"/>
    <cellStyle name="40% - Accent1 5 9 2" xfId="18156"/>
    <cellStyle name="40% - Accent1 6" xfId="1310"/>
    <cellStyle name="40% - Accent1 6 10" xfId="4237"/>
    <cellStyle name="40% - Accent1 6 11" xfId="12563"/>
    <cellStyle name="40% - Accent1 6 2" xfId="1311"/>
    <cellStyle name="40% - Accent1 6 2 2" xfId="1312"/>
    <cellStyle name="40% - Accent1 6 2 2 2" xfId="7393"/>
    <cellStyle name="40% - Accent1 6 2 2 2 2" xfId="15675"/>
    <cellStyle name="40% - Accent1 6 2 2 3" xfId="9887"/>
    <cellStyle name="40% - Accent1 6 2 2 3 2" xfId="18165"/>
    <cellStyle name="40% - Accent1 6 2 2 4" xfId="4239"/>
    <cellStyle name="40% - Accent1 6 2 2 5" xfId="12565"/>
    <cellStyle name="40% - Accent1 6 2 3" xfId="7392"/>
    <cellStyle name="40% - Accent1 6 2 3 2" xfId="15674"/>
    <cellStyle name="40% - Accent1 6 2 4" xfId="9886"/>
    <cellStyle name="40% - Accent1 6 2 4 2" xfId="18164"/>
    <cellStyle name="40% - Accent1 6 2 5" xfId="4238"/>
    <cellStyle name="40% - Accent1 6 2 6" xfId="12564"/>
    <cellStyle name="40% - Accent1 6 3" xfId="1313"/>
    <cellStyle name="40% - Accent1 6 3 2" xfId="1314"/>
    <cellStyle name="40% - Accent1 6 3 2 2" xfId="7395"/>
    <cellStyle name="40% - Accent1 6 3 2 2 2" xfId="15677"/>
    <cellStyle name="40% - Accent1 6 3 2 3" xfId="9889"/>
    <cellStyle name="40% - Accent1 6 3 2 3 2" xfId="18167"/>
    <cellStyle name="40% - Accent1 6 3 2 4" xfId="4241"/>
    <cellStyle name="40% - Accent1 6 3 2 5" xfId="12567"/>
    <cellStyle name="40% - Accent1 6 3 3" xfId="7394"/>
    <cellStyle name="40% - Accent1 6 3 3 2" xfId="15676"/>
    <cellStyle name="40% - Accent1 6 3 4" xfId="9888"/>
    <cellStyle name="40% - Accent1 6 3 4 2" xfId="18166"/>
    <cellStyle name="40% - Accent1 6 3 5" xfId="4240"/>
    <cellStyle name="40% - Accent1 6 3 6" xfId="12566"/>
    <cellStyle name="40% - Accent1 6 4" xfId="1315"/>
    <cellStyle name="40% - Accent1 6 4 2" xfId="7396"/>
    <cellStyle name="40% - Accent1 6 4 2 2" xfId="15678"/>
    <cellStyle name="40% - Accent1 6 4 3" xfId="9890"/>
    <cellStyle name="40% - Accent1 6 4 3 2" xfId="18168"/>
    <cellStyle name="40% - Accent1 6 4 4" xfId="4242"/>
    <cellStyle name="40% - Accent1 6 4 5" xfId="12568"/>
    <cellStyle name="40% - Accent1 6 5" xfId="1316"/>
    <cellStyle name="40% - Accent1 6 5 2" xfId="7397"/>
    <cellStyle name="40% - Accent1 6 5 2 2" xfId="15679"/>
    <cellStyle name="40% - Accent1 6 5 3" xfId="9891"/>
    <cellStyle name="40% - Accent1 6 5 3 2" xfId="18169"/>
    <cellStyle name="40% - Accent1 6 5 4" xfId="4243"/>
    <cellStyle name="40% - Accent1 6 5 5" xfId="12569"/>
    <cellStyle name="40% - Accent1 6 6" xfId="4244"/>
    <cellStyle name="40% - Accent1 6 6 2" xfId="12570"/>
    <cellStyle name="40% - Accent1 6 7" xfId="5830"/>
    <cellStyle name="40% - Accent1 6 7 2" xfId="14112"/>
    <cellStyle name="40% - Accent1 6 8" xfId="7391"/>
    <cellStyle name="40% - Accent1 6 8 2" xfId="15673"/>
    <cellStyle name="40% - Accent1 6 9" xfId="9885"/>
    <cellStyle name="40% - Accent1 6 9 2" xfId="18163"/>
    <cellStyle name="40% - Accent1 7" xfId="1317"/>
    <cellStyle name="40% - Accent1 7 10" xfId="4245"/>
    <cellStyle name="40% - Accent1 7 11" xfId="12571"/>
    <cellStyle name="40% - Accent1 7 2" xfId="1318"/>
    <cellStyle name="40% - Accent1 7 2 2" xfId="1319"/>
    <cellStyle name="40% - Accent1 7 2 2 2" xfId="7400"/>
    <cellStyle name="40% - Accent1 7 2 2 2 2" xfId="15682"/>
    <cellStyle name="40% - Accent1 7 2 2 3" xfId="9894"/>
    <cellStyle name="40% - Accent1 7 2 2 3 2" xfId="18172"/>
    <cellStyle name="40% - Accent1 7 2 2 4" xfId="4247"/>
    <cellStyle name="40% - Accent1 7 2 2 5" xfId="12573"/>
    <cellStyle name="40% - Accent1 7 2 3" xfId="7399"/>
    <cellStyle name="40% - Accent1 7 2 3 2" xfId="15681"/>
    <cellStyle name="40% - Accent1 7 2 4" xfId="9893"/>
    <cellStyle name="40% - Accent1 7 2 4 2" xfId="18171"/>
    <cellStyle name="40% - Accent1 7 2 5" xfId="4246"/>
    <cellStyle name="40% - Accent1 7 2 6" xfId="12572"/>
    <cellStyle name="40% - Accent1 7 3" xfId="1320"/>
    <cellStyle name="40% - Accent1 7 3 2" xfId="1321"/>
    <cellStyle name="40% - Accent1 7 3 2 2" xfId="7402"/>
    <cellStyle name="40% - Accent1 7 3 2 2 2" xfId="15684"/>
    <cellStyle name="40% - Accent1 7 3 2 3" xfId="9896"/>
    <cellStyle name="40% - Accent1 7 3 2 3 2" xfId="18174"/>
    <cellStyle name="40% - Accent1 7 3 2 4" xfId="4249"/>
    <cellStyle name="40% - Accent1 7 3 2 5" xfId="12575"/>
    <cellStyle name="40% - Accent1 7 3 3" xfId="7401"/>
    <cellStyle name="40% - Accent1 7 3 3 2" xfId="15683"/>
    <cellStyle name="40% - Accent1 7 3 4" xfId="9895"/>
    <cellStyle name="40% - Accent1 7 3 4 2" xfId="18173"/>
    <cellStyle name="40% - Accent1 7 3 5" xfId="4248"/>
    <cellStyle name="40% - Accent1 7 3 6" xfId="12574"/>
    <cellStyle name="40% - Accent1 7 4" xfId="1322"/>
    <cellStyle name="40% - Accent1 7 4 2" xfId="7403"/>
    <cellStyle name="40% - Accent1 7 4 2 2" xfId="15685"/>
    <cellStyle name="40% - Accent1 7 4 3" xfId="9897"/>
    <cellStyle name="40% - Accent1 7 4 3 2" xfId="18175"/>
    <cellStyle name="40% - Accent1 7 4 4" xfId="4250"/>
    <cellStyle name="40% - Accent1 7 4 5" xfId="12576"/>
    <cellStyle name="40% - Accent1 7 5" xfId="1323"/>
    <cellStyle name="40% - Accent1 7 5 2" xfId="7404"/>
    <cellStyle name="40% - Accent1 7 5 2 2" xfId="15686"/>
    <cellStyle name="40% - Accent1 7 5 3" xfId="9898"/>
    <cellStyle name="40% - Accent1 7 5 3 2" xfId="18176"/>
    <cellStyle name="40% - Accent1 7 5 4" xfId="4251"/>
    <cellStyle name="40% - Accent1 7 5 5" xfId="12577"/>
    <cellStyle name="40% - Accent1 7 6" xfId="4252"/>
    <cellStyle name="40% - Accent1 7 6 2" xfId="12578"/>
    <cellStyle name="40% - Accent1 7 7" xfId="5916"/>
    <cellStyle name="40% - Accent1 7 7 2" xfId="14198"/>
    <cellStyle name="40% - Accent1 7 8" xfId="7398"/>
    <cellStyle name="40% - Accent1 7 8 2" xfId="15680"/>
    <cellStyle name="40% - Accent1 7 9" xfId="9892"/>
    <cellStyle name="40% - Accent1 7 9 2" xfId="18170"/>
    <cellStyle name="40% - Accent1 8" xfId="1324"/>
    <cellStyle name="40% - Accent1 8 10" xfId="4253"/>
    <cellStyle name="40% - Accent1 8 11" xfId="12579"/>
    <cellStyle name="40% - Accent1 8 2" xfId="1325"/>
    <cellStyle name="40% - Accent1 8 2 2" xfId="1326"/>
    <cellStyle name="40% - Accent1 8 2 2 2" xfId="7407"/>
    <cellStyle name="40% - Accent1 8 2 2 2 2" xfId="15689"/>
    <cellStyle name="40% - Accent1 8 2 2 3" xfId="9901"/>
    <cellStyle name="40% - Accent1 8 2 2 3 2" xfId="18179"/>
    <cellStyle name="40% - Accent1 8 2 2 4" xfId="4255"/>
    <cellStyle name="40% - Accent1 8 2 2 5" xfId="12581"/>
    <cellStyle name="40% - Accent1 8 2 3" xfId="7406"/>
    <cellStyle name="40% - Accent1 8 2 3 2" xfId="15688"/>
    <cellStyle name="40% - Accent1 8 2 4" xfId="9900"/>
    <cellStyle name="40% - Accent1 8 2 4 2" xfId="18178"/>
    <cellStyle name="40% - Accent1 8 2 5" xfId="4254"/>
    <cellStyle name="40% - Accent1 8 2 6" xfId="12580"/>
    <cellStyle name="40% - Accent1 8 3" xfId="1327"/>
    <cellStyle name="40% - Accent1 8 3 2" xfId="1328"/>
    <cellStyle name="40% - Accent1 8 3 2 2" xfId="7409"/>
    <cellStyle name="40% - Accent1 8 3 2 2 2" xfId="15691"/>
    <cellStyle name="40% - Accent1 8 3 2 3" xfId="9903"/>
    <cellStyle name="40% - Accent1 8 3 2 3 2" xfId="18181"/>
    <cellStyle name="40% - Accent1 8 3 2 4" xfId="4257"/>
    <cellStyle name="40% - Accent1 8 3 2 5" xfId="12583"/>
    <cellStyle name="40% - Accent1 8 3 3" xfId="7408"/>
    <cellStyle name="40% - Accent1 8 3 3 2" xfId="15690"/>
    <cellStyle name="40% - Accent1 8 3 4" xfId="9902"/>
    <cellStyle name="40% - Accent1 8 3 4 2" xfId="18180"/>
    <cellStyle name="40% - Accent1 8 3 5" xfId="4256"/>
    <cellStyle name="40% - Accent1 8 3 6" xfId="12582"/>
    <cellStyle name="40% - Accent1 8 4" xfId="1329"/>
    <cellStyle name="40% - Accent1 8 4 2" xfId="7410"/>
    <cellStyle name="40% - Accent1 8 4 2 2" xfId="15692"/>
    <cellStyle name="40% - Accent1 8 4 3" xfId="9904"/>
    <cellStyle name="40% - Accent1 8 4 3 2" xfId="18182"/>
    <cellStyle name="40% - Accent1 8 4 4" xfId="4258"/>
    <cellStyle name="40% - Accent1 8 4 5" xfId="12584"/>
    <cellStyle name="40% - Accent1 8 5" xfId="1330"/>
    <cellStyle name="40% - Accent1 8 5 2" xfId="7411"/>
    <cellStyle name="40% - Accent1 8 5 2 2" xfId="15693"/>
    <cellStyle name="40% - Accent1 8 5 3" xfId="9905"/>
    <cellStyle name="40% - Accent1 8 5 3 2" xfId="18183"/>
    <cellStyle name="40% - Accent1 8 5 4" xfId="4259"/>
    <cellStyle name="40% - Accent1 8 5 5" xfId="12585"/>
    <cellStyle name="40% - Accent1 8 6" xfId="4260"/>
    <cellStyle name="40% - Accent1 8 6 2" xfId="12586"/>
    <cellStyle name="40% - Accent1 8 7" xfId="5928"/>
    <cellStyle name="40% - Accent1 8 7 2" xfId="14210"/>
    <cellStyle name="40% - Accent1 8 8" xfId="7405"/>
    <cellStyle name="40% - Accent1 8 8 2" xfId="15687"/>
    <cellStyle name="40% - Accent1 8 9" xfId="9899"/>
    <cellStyle name="40% - Accent1 8 9 2" xfId="18177"/>
    <cellStyle name="40% - Accent1 9" xfId="1331"/>
    <cellStyle name="40% - Accent1 9 10" xfId="4261"/>
    <cellStyle name="40% - Accent1 9 11" xfId="12587"/>
    <cellStyle name="40% - Accent1 9 2" xfId="1332"/>
    <cellStyle name="40% - Accent1 9 2 2" xfId="1333"/>
    <cellStyle name="40% - Accent1 9 2 2 2" xfId="7414"/>
    <cellStyle name="40% - Accent1 9 2 2 2 2" xfId="15696"/>
    <cellStyle name="40% - Accent1 9 2 2 3" xfId="9908"/>
    <cellStyle name="40% - Accent1 9 2 2 3 2" xfId="18186"/>
    <cellStyle name="40% - Accent1 9 2 2 4" xfId="4263"/>
    <cellStyle name="40% - Accent1 9 2 2 5" xfId="12589"/>
    <cellStyle name="40% - Accent1 9 2 3" xfId="7413"/>
    <cellStyle name="40% - Accent1 9 2 3 2" xfId="15695"/>
    <cellStyle name="40% - Accent1 9 2 4" xfId="9907"/>
    <cellStyle name="40% - Accent1 9 2 4 2" xfId="18185"/>
    <cellStyle name="40% - Accent1 9 2 5" xfId="4262"/>
    <cellStyle name="40% - Accent1 9 2 6" xfId="12588"/>
    <cellStyle name="40% - Accent1 9 3" xfId="1334"/>
    <cellStyle name="40% - Accent1 9 3 2" xfId="1335"/>
    <cellStyle name="40% - Accent1 9 3 2 2" xfId="7416"/>
    <cellStyle name="40% - Accent1 9 3 2 2 2" xfId="15698"/>
    <cellStyle name="40% - Accent1 9 3 2 3" xfId="9910"/>
    <cellStyle name="40% - Accent1 9 3 2 3 2" xfId="18188"/>
    <cellStyle name="40% - Accent1 9 3 2 4" xfId="4265"/>
    <cellStyle name="40% - Accent1 9 3 2 5" xfId="12591"/>
    <cellStyle name="40% - Accent1 9 3 3" xfId="7415"/>
    <cellStyle name="40% - Accent1 9 3 3 2" xfId="15697"/>
    <cellStyle name="40% - Accent1 9 3 4" xfId="9909"/>
    <cellStyle name="40% - Accent1 9 3 4 2" xfId="18187"/>
    <cellStyle name="40% - Accent1 9 3 5" xfId="4264"/>
    <cellStyle name="40% - Accent1 9 3 6" xfId="12590"/>
    <cellStyle name="40% - Accent1 9 4" xfId="1336"/>
    <cellStyle name="40% - Accent1 9 4 2" xfId="7417"/>
    <cellStyle name="40% - Accent1 9 4 2 2" xfId="15699"/>
    <cellStyle name="40% - Accent1 9 4 3" xfId="9911"/>
    <cellStyle name="40% - Accent1 9 4 3 2" xfId="18189"/>
    <cellStyle name="40% - Accent1 9 4 4" xfId="4266"/>
    <cellStyle name="40% - Accent1 9 4 5" xfId="12592"/>
    <cellStyle name="40% - Accent1 9 5" xfId="1337"/>
    <cellStyle name="40% - Accent1 9 5 2" xfId="7418"/>
    <cellStyle name="40% - Accent1 9 5 2 2" xfId="15700"/>
    <cellStyle name="40% - Accent1 9 5 3" xfId="9912"/>
    <cellStyle name="40% - Accent1 9 5 3 2" xfId="18190"/>
    <cellStyle name="40% - Accent1 9 5 4" xfId="4267"/>
    <cellStyle name="40% - Accent1 9 5 5" xfId="12593"/>
    <cellStyle name="40% - Accent1 9 6" xfId="4268"/>
    <cellStyle name="40% - Accent1 9 6 2" xfId="12594"/>
    <cellStyle name="40% - Accent1 9 7" xfId="6014"/>
    <cellStyle name="40% - Accent1 9 7 2" xfId="14296"/>
    <cellStyle name="40% - Accent1 9 8" xfId="7412"/>
    <cellStyle name="40% - Accent1 9 8 2" xfId="15694"/>
    <cellStyle name="40% - Accent1 9 9" xfId="9906"/>
    <cellStyle name="40% - Accent1 9 9 2" xfId="18184"/>
    <cellStyle name="40% - Accent2" xfId="1338" builtinId="35" customBuiltin="1"/>
    <cellStyle name="40% - Accent2 10" xfId="1339"/>
    <cellStyle name="40% - Accent2 10 10" xfId="12596"/>
    <cellStyle name="40% - Accent2 10 2" xfId="1340"/>
    <cellStyle name="40% - Accent2 10 2 2" xfId="1341"/>
    <cellStyle name="40% - Accent2 10 2 2 2" xfId="7422"/>
    <cellStyle name="40% - Accent2 10 2 2 2 2" xfId="15704"/>
    <cellStyle name="40% - Accent2 10 2 2 3" xfId="9916"/>
    <cellStyle name="40% - Accent2 10 2 2 3 2" xfId="18194"/>
    <cellStyle name="40% - Accent2 10 2 2 4" xfId="4272"/>
    <cellStyle name="40% - Accent2 10 2 2 5" xfId="12598"/>
    <cellStyle name="40% - Accent2 10 2 3" xfId="7421"/>
    <cellStyle name="40% - Accent2 10 2 3 2" xfId="15703"/>
    <cellStyle name="40% - Accent2 10 2 4" xfId="9915"/>
    <cellStyle name="40% - Accent2 10 2 4 2" xfId="18193"/>
    <cellStyle name="40% - Accent2 10 2 5" xfId="4271"/>
    <cellStyle name="40% - Accent2 10 2 6" xfId="12597"/>
    <cellStyle name="40% - Accent2 10 3" xfId="1342"/>
    <cellStyle name="40% - Accent2 10 3 2" xfId="1343"/>
    <cellStyle name="40% - Accent2 10 3 2 2" xfId="7424"/>
    <cellStyle name="40% - Accent2 10 3 2 2 2" xfId="15706"/>
    <cellStyle name="40% - Accent2 10 3 2 3" xfId="9918"/>
    <cellStyle name="40% - Accent2 10 3 2 3 2" xfId="18196"/>
    <cellStyle name="40% - Accent2 10 3 2 4" xfId="4274"/>
    <cellStyle name="40% - Accent2 10 3 2 5" xfId="12600"/>
    <cellStyle name="40% - Accent2 10 3 3" xfId="7423"/>
    <cellStyle name="40% - Accent2 10 3 3 2" xfId="15705"/>
    <cellStyle name="40% - Accent2 10 3 4" xfId="9917"/>
    <cellStyle name="40% - Accent2 10 3 4 2" xfId="18195"/>
    <cellStyle name="40% - Accent2 10 3 5" xfId="4273"/>
    <cellStyle name="40% - Accent2 10 3 6" xfId="12599"/>
    <cellStyle name="40% - Accent2 10 4" xfId="1344"/>
    <cellStyle name="40% - Accent2 10 4 2" xfId="7425"/>
    <cellStyle name="40% - Accent2 10 4 2 2" xfId="15707"/>
    <cellStyle name="40% - Accent2 10 4 3" xfId="9919"/>
    <cellStyle name="40% - Accent2 10 4 3 2" xfId="18197"/>
    <cellStyle name="40% - Accent2 10 4 4" xfId="4275"/>
    <cellStyle name="40% - Accent2 10 4 5" xfId="12601"/>
    <cellStyle name="40% - Accent2 10 5" xfId="1345"/>
    <cellStyle name="40% - Accent2 10 5 2" xfId="7426"/>
    <cellStyle name="40% - Accent2 10 5 2 2" xfId="15708"/>
    <cellStyle name="40% - Accent2 10 5 3" xfId="9920"/>
    <cellStyle name="40% - Accent2 10 5 3 2" xfId="18198"/>
    <cellStyle name="40% - Accent2 10 5 4" xfId="4276"/>
    <cellStyle name="40% - Accent2 10 5 5" xfId="12602"/>
    <cellStyle name="40% - Accent2 10 6" xfId="6030"/>
    <cellStyle name="40% - Accent2 10 6 2" xfId="14312"/>
    <cellStyle name="40% - Accent2 10 7" xfId="7420"/>
    <cellStyle name="40% - Accent2 10 7 2" xfId="15702"/>
    <cellStyle name="40% - Accent2 10 8" xfId="9914"/>
    <cellStyle name="40% - Accent2 10 8 2" xfId="18192"/>
    <cellStyle name="40% - Accent2 10 9" xfId="4270"/>
    <cellStyle name="40% - Accent2 11" xfId="1346"/>
    <cellStyle name="40% - Accent2 11 2" xfId="1347"/>
    <cellStyle name="40% - Accent2 11 2 2" xfId="1348"/>
    <cellStyle name="40% - Accent2 11 2 2 2" xfId="7429"/>
    <cellStyle name="40% - Accent2 11 2 2 2 2" xfId="15711"/>
    <cellStyle name="40% - Accent2 11 2 2 3" xfId="9923"/>
    <cellStyle name="40% - Accent2 11 2 2 3 2" xfId="18201"/>
    <cellStyle name="40% - Accent2 11 2 2 4" xfId="4279"/>
    <cellStyle name="40% - Accent2 11 2 2 5" xfId="12605"/>
    <cellStyle name="40% - Accent2 11 2 3" xfId="7428"/>
    <cellStyle name="40% - Accent2 11 2 3 2" xfId="15710"/>
    <cellStyle name="40% - Accent2 11 2 4" xfId="9922"/>
    <cellStyle name="40% - Accent2 11 2 4 2" xfId="18200"/>
    <cellStyle name="40% - Accent2 11 2 5" xfId="4278"/>
    <cellStyle name="40% - Accent2 11 2 6" xfId="12604"/>
    <cellStyle name="40% - Accent2 11 3" xfId="1349"/>
    <cellStyle name="40% - Accent2 11 3 2" xfId="7430"/>
    <cellStyle name="40% - Accent2 11 3 2 2" xfId="15712"/>
    <cellStyle name="40% - Accent2 11 3 3" xfId="9924"/>
    <cellStyle name="40% - Accent2 11 3 3 2" xfId="18202"/>
    <cellStyle name="40% - Accent2 11 3 4" xfId="4280"/>
    <cellStyle name="40% - Accent2 11 3 5" xfId="12606"/>
    <cellStyle name="40% - Accent2 11 4" xfId="1350"/>
    <cellStyle name="40% - Accent2 11 4 2" xfId="7431"/>
    <cellStyle name="40% - Accent2 11 4 2 2" xfId="15713"/>
    <cellStyle name="40% - Accent2 11 4 3" xfId="9925"/>
    <cellStyle name="40% - Accent2 11 4 3 2" xfId="18203"/>
    <cellStyle name="40% - Accent2 11 4 4" xfId="4281"/>
    <cellStyle name="40% - Accent2 11 4 5" xfId="12607"/>
    <cellStyle name="40% - Accent2 11 5" xfId="5718"/>
    <cellStyle name="40% - Accent2 11 5 2" xfId="14004"/>
    <cellStyle name="40% - Accent2 11 6" xfId="7427"/>
    <cellStyle name="40% - Accent2 11 6 2" xfId="15709"/>
    <cellStyle name="40% - Accent2 11 7" xfId="9921"/>
    <cellStyle name="40% - Accent2 11 7 2" xfId="18199"/>
    <cellStyle name="40% - Accent2 11 8" xfId="4277"/>
    <cellStyle name="40% - Accent2 11 9" xfId="12603"/>
    <cellStyle name="40% - Accent2 12" xfId="1351"/>
    <cellStyle name="40% - Accent2 12 2" xfId="1352"/>
    <cellStyle name="40% - Accent2 12 2 2" xfId="7433"/>
    <cellStyle name="40% - Accent2 12 2 2 2" xfId="15715"/>
    <cellStyle name="40% - Accent2 12 2 3" xfId="9927"/>
    <cellStyle name="40% - Accent2 12 2 3 2" xfId="18205"/>
    <cellStyle name="40% - Accent2 12 2 4" xfId="4283"/>
    <cellStyle name="40% - Accent2 12 2 5" xfId="12609"/>
    <cellStyle name="40% - Accent2 12 3" xfId="6045"/>
    <cellStyle name="40% - Accent2 12 3 2" xfId="14327"/>
    <cellStyle name="40% - Accent2 12 4" xfId="7432"/>
    <cellStyle name="40% - Accent2 12 4 2" xfId="15714"/>
    <cellStyle name="40% - Accent2 12 5" xfId="9926"/>
    <cellStyle name="40% - Accent2 12 5 2" xfId="18204"/>
    <cellStyle name="40% - Accent2 12 6" xfId="4282"/>
    <cellStyle name="40% - Accent2 12 7" xfId="12608"/>
    <cellStyle name="40% - Accent2 13" xfId="1353"/>
    <cellStyle name="40% - Accent2 13 2" xfId="1354"/>
    <cellStyle name="40% - Accent2 13 2 2" xfId="7435"/>
    <cellStyle name="40% - Accent2 13 2 2 2" xfId="15717"/>
    <cellStyle name="40% - Accent2 13 2 3" xfId="9929"/>
    <cellStyle name="40% - Accent2 13 2 3 2" xfId="18207"/>
    <cellStyle name="40% - Accent2 13 2 4" xfId="4285"/>
    <cellStyle name="40% - Accent2 13 2 5" xfId="12611"/>
    <cellStyle name="40% - Accent2 13 3" xfId="6059"/>
    <cellStyle name="40% - Accent2 13 3 2" xfId="14341"/>
    <cellStyle name="40% - Accent2 13 4" xfId="7434"/>
    <cellStyle name="40% - Accent2 13 4 2" xfId="15716"/>
    <cellStyle name="40% - Accent2 13 5" xfId="9928"/>
    <cellStyle name="40% - Accent2 13 5 2" xfId="18206"/>
    <cellStyle name="40% - Accent2 13 6" xfId="4284"/>
    <cellStyle name="40% - Accent2 13 7" xfId="12610"/>
    <cellStyle name="40% - Accent2 14" xfId="1355"/>
    <cellStyle name="40% - Accent2 14 2" xfId="6073"/>
    <cellStyle name="40% - Accent2 14 2 2" xfId="14355"/>
    <cellStyle name="40% - Accent2 14 3" xfId="7436"/>
    <cellStyle name="40% - Accent2 14 3 2" xfId="15718"/>
    <cellStyle name="40% - Accent2 14 4" xfId="9930"/>
    <cellStyle name="40% - Accent2 14 4 2" xfId="18208"/>
    <cellStyle name="40% - Accent2 14 5" xfId="4286"/>
    <cellStyle name="40% - Accent2 14 6" xfId="12612"/>
    <cellStyle name="40% - Accent2 15" xfId="1356"/>
    <cellStyle name="40% - Accent2 15 2" xfId="7437"/>
    <cellStyle name="40% - Accent2 15 2 2" xfId="15719"/>
    <cellStyle name="40% - Accent2 15 3" xfId="9931"/>
    <cellStyle name="40% - Accent2 15 3 2" xfId="18209"/>
    <cellStyle name="40% - Accent2 15 4" xfId="4287"/>
    <cellStyle name="40% - Accent2 15 5" xfId="12613"/>
    <cellStyle name="40% - Accent2 16" xfId="5626"/>
    <cellStyle name="40% - Accent2 16 2" xfId="13916"/>
    <cellStyle name="40% - Accent2 17" xfId="7419"/>
    <cellStyle name="40% - Accent2 17 2" xfId="15701"/>
    <cellStyle name="40% - Accent2 18" xfId="9913"/>
    <cellStyle name="40% - Accent2 18 2" xfId="18191"/>
    <cellStyle name="40% - Accent2 19" xfId="4269"/>
    <cellStyle name="40% - Accent2 2" xfId="1357"/>
    <cellStyle name="40% - Accent2 2 10" xfId="1358"/>
    <cellStyle name="40% - Accent2 2 10 2" xfId="7439"/>
    <cellStyle name="40% - Accent2 2 10 2 2" xfId="15721"/>
    <cellStyle name="40% - Accent2 2 10 3" xfId="9933"/>
    <cellStyle name="40% - Accent2 2 10 3 2" xfId="18211"/>
    <cellStyle name="40% - Accent2 2 10 4" xfId="4289"/>
    <cellStyle name="40% - Accent2 2 10 5" xfId="12615"/>
    <cellStyle name="40% - Accent2 2 11" xfId="1359"/>
    <cellStyle name="40% - Accent2 2 11 2" xfId="7440"/>
    <cellStyle name="40% - Accent2 2 11 2 2" xfId="15722"/>
    <cellStyle name="40% - Accent2 2 11 3" xfId="9934"/>
    <cellStyle name="40% - Accent2 2 11 3 2" xfId="18212"/>
    <cellStyle name="40% - Accent2 2 11 4" xfId="4290"/>
    <cellStyle name="40% - Accent2 2 11 5" xfId="12616"/>
    <cellStyle name="40% - Accent2 2 12" xfId="5645"/>
    <cellStyle name="40% - Accent2 2 12 2" xfId="13934"/>
    <cellStyle name="40% - Accent2 2 13" xfId="7438"/>
    <cellStyle name="40% - Accent2 2 13 2" xfId="15720"/>
    <cellStyle name="40% - Accent2 2 14" xfId="9932"/>
    <cellStyle name="40% - Accent2 2 14 2" xfId="18210"/>
    <cellStyle name="40% - Accent2 2 15" xfId="4288"/>
    <cellStyle name="40% - Accent2 2 16" xfId="12614"/>
    <cellStyle name="40% - Accent2 2 2" xfId="1360"/>
    <cellStyle name="40% - Accent2 2 2 10" xfId="7441"/>
    <cellStyle name="40% - Accent2 2 2 10 2" xfId="15723"/>
    <cellStyle name="40% - Accent2 2 2 11" xfId="9935"/>
    <cellStyle name="40% - Accent2 2 2 11 2" xfId="18213"/>
    <cellStyle name="40% - Accent2 2 2 12" xfId="4291"/>
    <cellStyle name="40% - Accent2 2 2 13" xfId="12617"/>
    <cellStyle name="40% - Accent2 2 2 2" xfId="1361"/>
    <cellStyle name="40% - Accent2 2 2 2 10" xfId="12618"/>
    <cellStyle name="40% - Accent2 2 2 2 2" xfId="1362"/>
    <cellStyle name="40% - Accent2 2 2 2 2 2" xfId="1363"/>
    <cellStyle name="40% - Accent2 2 2 2 2 2 2" xfId="7444"/>
    <cellStyle name="40% - Accent2 2 2 2 2 2 2 2" xfId="15726"/>
    <cellStyle name="40% - Accent2 2 2 2 2 2 3" xfId="9938"/>
    <cellStyle name="40% - Accent2 2 2 2 2 2 3 2" xfId="18216"/>
    <cellStyle name="40% - Accent2 2 2 2 2 2 4" xfId="4294"/>
    <cellStyle name="40% - Accent2 2 2 2 2 2 5" xfId="12620"/>
    <cellStyle name="40% - Accent2 2 2 2 2 3" xfId="7443"/>
    <cellStyle name="40% - Accent2 2 2 2 2 3 2" xfId="15725"/>
    <cellStyle name="40% - Accent2 2 2 2 2 4" xfId="9937"/>
    <cellStyle name="40% - Accent2 2 2 2 2 4 2" xfId="18215"/>
    <cellStyle name="40% - Accent2 2 2 2 2 5" xfId="4293"/>
    <cellStyle name="40% - Accent2 2 2 2 2 6" xfId="12619"/>
    <cellStyle name="40% - Accent2 2 2 2 3" xfId="1364"/>
    <cellStyle name="40% - Accent2 2 2 2 3 2" xfId="1365"/>
    <cellStyle name="40% - Accent2 2 2 2 3 2 2" xfId="7446"/>
    <cellStyle name="40% - Accent2 2 2 2 3 2 2 2" xfId="15728"/>
    <cellStyle name="40% - Accent2 2 2 2 3 2 3" xfId="9940"/>
    <cellStyle name="40% - Accent2 2 2 2 3 2 3 2" xfId="18218"/>
    <cellStyle name="40% - Accent2 2 2 2 3 2 4" xfId="4296"/>
    <cellStyle name="40% - Accent2 2 2 2 3 2 5" xfId="12622"/>
    <cellStyle name="40% - Accent2 2 2 2 3 3" xfId="7445"/>
    <cellStyle name="40% - Accent2 2 2 2 3 3 2" xfId="15727"/>
    <cellStyle name="40% - Accent2 2 2 2 3 4" xfId="9939"/>
    <cellStyle name="40% - Accent2 2 2 2 3 4 2" xfId="18217"/>
    <cellStyle name="40% - Accent2 2 2 2 3 5" xfId="4295"/>
    <cellStyle name="40% - Accent2 2 2 2 3 6" xfId="12621"/>
    <cellStyle name="40% - Accent2 2 2 2 4" xfId="1366"/>
    <cellStyle name="40% - Accent2 2 2 2 4 2" xfId="7447"/>
    <cellStyle name="40% - Accent2 2 2 2 4 2 2" xfId="15729"/>
    <cellStyle name="40% - Accent2 2 2 2 4 3" xfId="9941"/>
    <cellStyle name="40% - Accent2 2 2 2 4 3 2" xfId="18219"/>
    <cellStyle name="40% - Accent2 2 2 2 4 4" xfId="4297"/>
    <cellStyle name="40% - Accent2 2 2 2 4 5" xfId="12623"/>
    <cellStyle name="40% - Accent2 2 2 2 5" xfId="1367"/>
    <cellStyle name="40% - Accent2 2 2 2 5 2" xfId="7448"/>
    <cellStyle name="40% - Accent2 2 2 2 5 2 2" xfId="15730"/>
    <cellStyle name="40% - Accent2 2 2 2 5 3" xfId="9942"/>
    <cellStyle name="40% - Accent2 2 2 2 5 3 2" xfId="18220"/>
    <cellStyle name="40% - Accent2 2 2 2 5 4" xfId="4298"/>
    <cellStyle name="40% - Accent2 2 2 2 5 5" xfId="12624"/>
    <cellStyle name="40% - Accent2 2 2 2 6" xfId="5876"/>
    <cellStyle name="40% - Accent2 2 2 2 6 2" xfId="14158"/>
    <cellStyle name="40% - Accent2 2 2 2 7" xfId="7442"/>
    <cellStyle name="40% - Accent2 2 2 2 7 2" xfId="15724"/>
    <cellStyle name="40% - Accent2 2 2 2 8" xfId="9936"/>
    <cellStyle name="40% - Accent2 2 2 2 8 2" xfId="18214"/>
    <cellStyle name="40% - Accent2 2 2 2 9" xfId="4292"/>
    <cellStyle name="40% - Accent2 2 2 3" xfId="1368"/>
    <cellStyle name="40% - Accent2 2 2 3 10" xfId="12625"/>
    <cellStyle name="40% - Accent2 2 2 3 2" xfId="1369"/>
    <cellStyle name="40% - Accent2 2 2 3 2 2" xfId="1370"/>
    <cellStyle name="40% - Accent2 2 2 3 2 2 2" xfId="7451"/>
    <cellStyle name="40% - Accent2 2 2 3 2 2 2 2" xfId="15733"/>
    <cellStyle name="40% - Accent2 2 2 3 2 2 3" xfId="9945"/>
    <cellStyle name="40% - Accent2 2 2 3 2 2 3 2" xfId="18223"/>
    <cellStyle name="40% - Accent2 2 2 3 2 2 4" xfId="4301"/>
    <cellStyle name="40% - Accent2 2 2 3 2 2 5" xfId="12627"/>
    <cellStyle name="40% - Accent2 2 2 3 2 3" xfId="7450"/>
    <cellStyle name="40% - Accent2 2 2 3 2 3 2" xfId="15732"/>
    <cellStyle name="40% - Accent2 2 2 3 2 4" xfId="9944"/>
    <cellStyle name="40% - Accent2 2 2 3 2 4 2" xfId="18222"/>
    <cellStyle name="40% - Accent2 2 2 3 2 5" xfId="4300"/>
    <cellStyle name="40% - Accent2 2 2 3 2 6" xfId="12626"/>
    <cellStyle name="40% - Accent2 2 2 3 3" xfId="1371"/>
    <cellStyle name="40% - Accent2 2 2 3 3 2" xfId="1372"/>
    <cellStyle name="40% - Accent2 2 2 3 3 2 2" xfId="7453"/>
    <cellStyle name="40% - Accent2 2 2 3 3 2 2 2" xfId="15735"/>
    <cellStyle name="40% - Accent2 2 2 3 3 2 3" xfId="9947"/>
    <cellStyle name="40% - Accent2 2 2 3 3 2 3 2" xfId="18225"/>
    <cellStyle name="40% - Accent2 2 2 3 3 2 4" xfId="4303"/>
    <cellStyle name="40% - Accent2 2 2 3 3 2 5" xfId="12629"/>
    <cellStyle name="40% - Accent2 2 2 3 3 3" xfId="7452"/>
    <cellStyle name="40% - Accent2 2 2 3 3 3 2" xfId="15734"/>
    <cellStyle name="40% - Accent2 2 2 3 3 4" xfId="9946"/>
    <cellStyle name="40% - Accent2 2 2 3 3 4 2" xfId="18224"/>
    <cellStyle name="40% - Accent2 2 2 3 3 5" xfId="4302"/>
    <cellStyle name="40% - Accent2 2 2 3 3 6" xfId="12628"/>
    <cellStyle name="40% - Accent2 2 2 3 4" xfId="1373"/>
    <cellStyle name="40% - Accent2 2 2 3 4 2" xfId="7454"/>
    <cellStyle name="40% - Accent2 2 2 3 4 2 2" xfId="15736"/>
    <cellStyle name="40% - Accent2 2 2 3 4 3" xfId="9948"/>
    <cellStyle name="40% - Accent2 2 2 3 4 3 2" xfId="18226"/>
    <cellStyle name="40% - Accent2 2 2 3 4 4" xfId="4304"/>
    <cellStyle name="40% - Accent2 2 2 3 4 5" xfId="12630"/>
    <cellStyle name="40% - Accent2 2 2 3 5" xfId="1374"/>
    <cellStyle name="40% - Accent2 2 2 3 5 2" xfId="7455"/>
    <cellStyle name="40% - Accent2 2 2 3 5 2 2" xfId="15737"/>
    <cellStyle name="40% - Accent2 2 2 3 5 3" xfId="9949"/>
    <cellStyle name="40% - Accent2 2 2 3 5 3 2" xfId="18227"/>
    <cellStyle name="40% - Accent2 2 2 3 5 4" xfId="4305"/>
    <cellStyle name="40% - Accent2 2 2 3 5 5" xfId="12631"/>
    <cellStyle name="40% - Accent2 2 2 3 6" xfId="5974"/>
    <cellStyle name="40% - Accent2 2 2 3 6 2" xfId="14256"/>
    <cellStyle name="40% - Accent2 2 2 3 7" xfId="7449"/>
    <cellStyle name="40% - Accent2 2 2 3 7 2" xfId="15731"/>
    <cellStyle name="40% - Accent2 2 2 3 8" xfId="9943"/>
    <cellStyle name="40% - Accent2 2 2 3 8 2" xfId="18221"/>
    <cellStyle name="40% - Accent2 2 2 3 9" xfId="4299"/>
    <cellStyle name="40% - Accent2 2 2 4" xfId="1375"/>
    <cellStyle name="40% - Accent2 2 2 4 2" xfId="1376"/>
    <cellStyle name="40% - Accent2 2 2 4 2 2" xfId="1377"/>
    <cellStyle name="40% - Accent2 2 2 4 2 2 2" xfId="7458"/>
    <cellStyle name="40% - Accent2 2 2 4 2 2 2 2" xfId="15740"/>
    <cellStyle name="40% - Accent2 2 2 4 2 2 3" xfId="9952"/>
    <cellStyle name="40% - Accent2 2 2 4 2 2 3 2" xfId="18230"/>
    <cellStyle name="40% - Accent2 2 2 4 2 2 4" xfId="4308"/>
    <cellStyle name="40% - Accent2 2 2 4 2 2 5" xfId="12634"/>
    <cellStyle name="40% - Accent2 2 2 4 2 3" xfId="7457"/>
    <cellStyle name="40% - Accent2 2 2 4 2 3 2" xfId="15739"/>
    <cellStyle name="40% - Accent2 2 2 4 2 4" xfId="9951"/>
    <cellStyle name="40% - Accent2 2 2 4 2 4 2" xfId="18229"/>
    <cellStyle name="40% - Accent2 2 2 4 2 5" xfId="4307"/>
    <cellStyle name="40% - Accent2 2 2 4 2 6" xfId="12633"/>
    <cellStyle name="40% - Accent2 2 2 4 3" xfId="1378"/>
    <cellStyle name="40% - Accent2 2 2 4 3 2" xfId="7459"/>
    <cellStyle name="40% - Accent2 2 2 4 3 2 2" xfId="15741"/>
    <cellStyle name="40% - Accent2 2 2 4 3 3" xfId="9953"/>
    <cellStyle name="40% - Accent2 2 2 4 3 3 2" xfId="18231"/>
    <cellStyle name="40% - Accent2 2 2 4 3 4" xfId="4309"/>
    <cellStyle name="40% - Accent2 2 2 4 3 5" xfId="12635"/>
    <cellStyle name="40% - Accent2 2 2 4 4" xfId="1379"/>
    <cellStyle name="40% - Accent2 2 2 4 4 2" xfId="7460"/>
    <cellStyle name="40% - Accent2 2 2 4 4 2 2" xfId="15742"/>
    <cellStyle name="40% - Accent2 2 2 4 4 3" xfId="9954"/>
    <cellStyle name="40% - Accent2 2 2 4 4 3 2" xfId="18232"/>
    <cellStyle name="40% - Accent2 2 2 4 4 4" xfId="4310"/>
    <cellStyle name="40% - Accent2 2 2 4 4 5" xfId="12636"/>
    <cellStyle name="40% - Accent2 2 2 4 5" xfId="5790"/>
    <cellStyle name="40% - Accent2 2 2 4 5 2" xfId="14072"/>
    <cellStyle name="40% - Accent2 2 2 4 6" xfId="7456"/>
    <cellStyle name="40% - Accent2 2 2 4 6 2" xfId="15738"/>
    <cellStyle name="40% - Accent2 2 2 4 7" xfId="9950"/>
    <cellStyle name="40% - Accent2 2 2 4 7 2" xfId="18228"/>
    <cellStyle name="40% - Accent2 2 2 4 8" xfId="4306"/>
    <cellStyle name="40% - Accent2 2 2 4 9" xfId="12632"/>
    <cellStyle name="40% - Accent2 2 2 5" xfId="1380"/>
    <cellStyle name="40% - Accent2 2 2 5 2" xfId="1381"/>
    <cellStyle name="40% - Accent2 2 2 5 2 2" xfId="7462"/>
    <cellStyle name="40% - Accent2 2 2 5 2 2 2" xfId="15744"/>
    <cellStyle name="40% - Accent2 2 2 5 2 3" xfId="9956"/>
    <cellStyle name="40% - Accent2 2 2 5 2 3 2" xfId="18234"/>
    <cellStyle name="40% - Accent2 2 2 5 2 4" xfId="4312"/>
    <cellStyle name="40% - Accent2 2 2 5 2 5" xfId="12638"/>
    <cellStyle name="40% - Accent2 2 2 5 3" xfId="7461"/>
    <cellStyle name="40% - Accent2 2 2 5 3 2" xfId="15743"/>
    <cellStyle name="40% - Accent2 2 2 5 4" xfId="9955"/>
    <cellStyle name="40% - Accent2 2 2 5 4 2" xfId="18233"/>
    <cellStyle name="40% - Accent2 2 2 5 5" xfId="4311"/>
    <cellStyle name="40% - Accent2 2 2 5 6" xfId="12637"/>
    <cellStyle name="40% - Accent2 2 2 6" xfId="1382"/>
    <cellStyle name="40% - Accent2 2 2 6 2" xfId="1383"/>
    <cellStyle name="40% - Accent2 2 2 6 2 2" xfId="7464"/>
    <cellStyle name="40% - Accent2 2 2 6 2 2 2" xfId="15746"/>
    <cellStyle name="40% - Accent2 2 2 6 2 3" xfId="9958"/>
    <cellStyle name="40% - Accent2 2 2 6 2 3 2" xfId="18236"/>
    <cellStyle name="40% - Accent2 2 2 6 2 4" xfId="4314"/>
    <cellStyle name="40% - Accent2 2 2 6 2 5" xfId="12640"/>
    <cellStyle name="40% - Accent2 2 2 6 3" xfId="7463"/>
    <cellStyle name="40% - Accent2 2 2 6 3 2" xfId="15745"/>
    <cellStyle name="40% - Accent2 2 2 6 4" xfId="9957"/>
    <cellStyle name="40% - Accent2 2 2 6 4 2" xfId="18235"/>
    <cellStyle name="40% - Accent2 2 2 6 5" xfId="4313"/>
    <cellStyle name="40% - Accent2 2 2 6 6" xfId="12639"/>
    <cellStyle name="40% - Accent2 2 2 7" xfId="1384"/>
    <cellStyle name="40% - Accent2 2 2 7 2" xfId="7465"/>
    <cellStyle name="40% - Accent2 2 2 7 2 2" xfId="15747"/>
    <cellStyle name="40% - Accent2 2 2 7 3" xfId="9959"/>
    <cellStyle name="40% - Accent2 2 2 7 3 2" xfId="18237"/>
    <cellStyle name="40% - Accent2 2 2 7 4" xfId="4315"/>
    <cellStyle name="40% - Accent2 2 2 7 5" xfId="12641"/>
    <cellStyle name="40% - Accent2 2 2 8" xfId="1385"/>
    <cellStyle name="40% - Accent2 2 2 8 2" xfId="7466"/>
    <cellStyle name="40% - Accent2 2 2 8 2 2" xfId="15748"/>
    <cellStyle name="40% - Accent2 2 2 8 3" xfId="9960"/>
    <cellStyle name="40% - Accent2 2 2 8 3 2" xfId="18238"/>
    <cellStyle name="40% - Accent2 2 2 8 4" xfId="4316"/>
    <cellStyle name="40% - Accent2 2 2 8 5" xfId="12642"/>
    <cellStyle name="40% - Accent2 2 2 9" xfId="5674"/>
    <cellStyle name="40% - Accent2 2 2 9 2" xfId="13960"/>
    <cellStyle name="40% - Accent2 2 3" xfId="1386"/>
    <cellStyle name="40% - Accent2 2 3 10" xfId="7467"/>
    <cellStyle name="40% - Accent2 2 3 10 2" xfId="15749"/>
    <cellStyle name="40% - Accent2 2 3 11" xfId="9961"/>
    <cellStyle name="40% - Accent2 2 3 11 2" xfId="18239"/>
    <cellStyle name="40% - Accent2 2 3 12" xfId="4317"/>
    <cellStyle name="40% - Accent2 2 3 13" xfId="12643"/>
    <cellStyle name="40% - Accent2 2 3 2" xfId="1387"/>
    <cellStyle name="40% - Accent2 2 3 2 10" xfId="12644"/>
    <cellStyle name="40% - Accent2 2 3 2 2" xfId="1388"/>
    <cellStyle name="40% - Accent2 2 3 2 2 2" xfId="1389"/>
    <cellStyle name="40% - Accent2 2 3 2 2 2 2" xfId="7470"/>
    <cellStyle name="40% - Accent2 2 3 2 2 2 2 2" xfId="15752"/>
    <cellStyle name="40% - Accent2 2 3 2 2 2 3" xfId="9964"/>
    <cellStyle name="40% - Accent2 2 3 2 2 2 3 2" xfId="18242"/>
    <cellStyle name="40% - Accent2 2 3 2 2 2 4" xfId="4320"/>
    <cellStyle name="40% - Accent2 2 3 2 2 2 5" xfId="12646"/>
    <cellStyle name="40% - Accent2 2 3 2 2 3" xfId="7469"/>
    <cellStyle name="40% - Accent2 2 3 2 2 3 2" xfId="15751"/>
    <cellStyle name="40% - Accent2 2 3 2 2 4" xfId="9963"/>
    <cellStyle name="40% - Accent2 2 3 2 2 4 2" xfId="18241"/>
    <cellStyle name="40% - Accent2 2 3 2 2 5" xfId="4319"/>
    <cellStyle name="40% - Accent2 2 3 2 2 6" xfId="12645"/>
    <cellStyle name="40% - Accent2 2 3 2 3" xfId="1390"/>
    <cellStyle name="40% - Accent2 2 3 2 3 2" xfId="1391"/>
    <cellStyle name="40% - Accent2 2 3 2 3 2 2" xfId="7472"/>
    <cellStyle name="40% - Accent2 2 3 2 3 2 2 2" xfId="15754"/>
    <cellStyle name="40% - Accent2 2 3 2 3 2 3" xfId="9966"/>
    <cellStyle name="40% - Accent2 2 3 2 3 2 3 2" xfId="18244"/>
    <cellStyle name="40% - Accent2 2 3 2 3 2 4" xfId="4322"/>
    <cellStyle name="40% - Accent2 2 3 2 3 2 5" xfId="12648"/>
    <cellStyle name="40% - Accent2 2 3 2 3 3" xfId="7471"/>
    <cellStyle name="40% - Accent2 2 3 2 3 3 2" xfId="15753"/>
    <cellStyle name="40% - Accent2 2 3 2 3 4" xfId="9965"/>
    <cellStyle name="40% - Accent2 2 3 2 3 4 2" xfId="18243"/>
    <cellStyle name="40% - Accent2 2 3 2 3 5" xfId="4321"/>
    <cellStyle name="40% - Accent2 2 3 2 3 6" xfId="12647"/>
    <cellStyle name="40% - Accent2 2 3 2 4" xfId="1392"/>
    <cellStyle name="40% - Accent2 2 3 2 4 2" xfId="7473"/>
    <cellStyle name="40% - Accent2 2 3 2 4 2 2" xfId="15755"/>
    <cellStyle name="40% - Accent2 2 3 2 4 3" xfId="9967"/>
    <cellStyle name="40% - Accent2 2 3 2 4 3 2" xfId="18245"/>
    <cellStyle name="40% - Accent2 2 3 2 4 4" xfId="4323"/>
    <cellStyle name="40% - Accent2 2 3 2 4 5" xfId="12649"/>
    <cellStyle name="40% - Accent2 2 3 2 5" xfId="1393"/>
    <cellStyle name="40% - Accent2 2 3 2 5 2" xfId="7474"/>
    <cellStyle name="40% - Accent2 2 3 2 5 2 2" xfId="15756"/>
    <cellStyle name="40% - Accent2 2 3 2 5 3" xfId="9968"/>
    <cellStyle name="40% - Accent2 2 3 2 5 3 2" xfId="18246"/>
    <cellStyle name="40% - Accent2 2 3 2 5 4" xfId="4324"/>
    <cellStyle name="40% - Accent2 2 3 2 5 5" xfId="12650"/>
    <cellStyle name="40% - Accent2 2 3 2 6" xfId="5904"/>
    <cellStyle name="40% - Accent2 2 3 2 6 2" xfId="14186"/>
    <cellStyle name="40% - Accent2 2 3 2 7" xfId="7468"/>
    <cellStyle name="40% - Accent2 2 3 2 7 2" xfId="15750"/>
    <cellStyle name="40% - Accent2 2 3 2 8" xfId="9962"/>
    <cellStyle name="40% - Accent2 2 3 2 8 2" xfId="18240"/>
    <cellStyle name="40% - Accent2 2 3 2 9" xfId="4318"/>
    <cellStyle name="40% - Accent2 2 3 3" xfId="1394"/>
    <cellStyle name="40% - Accent2 2 3 3 10" xfId="12651"/>
    <cellStyle name="40% - Accent2 2 3 3 2" xfId="1395"/>
    <cellStyle name="40% - Accent2 2 3 3 2 2" xfId="1396"/>
    <cellStyle name="40% - Accent2 2 3 3 2 2 2" xfId="7477"/>
    <cellStyle name="40% - Accent2 2 3 3 2 2 2 2" xfId="15759"/>
    <cellStyle name="40% - Accent2 2 3 3 2 2 3" xfId="9971"/>
    <cellStyle name="40% - Accent2 2 3 3 2 2 3 2" xfId="18249"/>
    <cellStyle name="40% - Accent2 2 3 3 2 2 4" xfId="4327"/>
    <cellStyle name="40% - Accent2 2 3 3 2 2 5" xfId="12653"/>
    <cellStyle name="40% - Accent2 2 3 3 2 3" xfId="7476"/>
    <cellStyle name="40% - Accent2 2 3 3 2 3 2" xfId="15758"/>
    <cellStyle name="40% - Accent2 2 3 3 2 4" xfId="9970"/>
    <cellStyle name="40% - Accent2 2 3 3 2 4 2" xfId="18248"/>
    <cellStyle name="40% - Accent2 2 3 3 2 5" xfId="4326"/>
    <cellStyle name="40% - Accent2 2 3 3 2 6" xfId="12652"/>
    <cellStyle name="40% - Accent2 2 3 3 3" xfId="1397"/>
    <cellStyle name="40% - Accent2 2 3 3 3 2" xfId="1398"/>
    <cellStyle name="40% - Accent2 2 3 3 3 2 2" xfId="7479"/>
    <cellStyle name="40% - Accent2 2 3 3 3 2 2 2" xfId="15761"/>
    <cellStyle name="40% - Accent2 2 3 3 3 2 3" xfId="9973"/>
    <cellStyle name="40% - Accent2 2 3 3 3 2 3 2" xfId="18251"/>
    <cellStyle name="40% - Accent2 2 3 3 3 2 4" xfId="4329"/>
    <cellStyle name="40% - Accent2 2 3 3 3 2 5" xfId="12655"/>
    <cellStyle name="40% - Accent2 2 3 3 3 3" xfId="7478"/>
    <cellStyle name="40% - Accent2 2 3 3 3 3 2" xfId="15760"/>
    <cellStyle name="40% - Accent2 2 3 3 3 4" xfId="9972"/>
    <cellStyle name="40% - Accent2 2 3 3 3 4 2" xfId="18250"/>
    <cellStyle name="40% - Accent2 2 3 3 3 5" xfId="4328"/>
    <cellStyle name="40% - Accent2 2 3 3 3 6" xfId="12654"/>
    <cellStyle name="40% - Accent2 2 3 3 4" xfId="1399"/>
    <cellStyle name="40% - Accent2 2 3 3 4 2" xfId="7480"/>
    <cellStyle name="40% - Accent2 2 3 3 4 2 2" xfId="15762"/>
    <cellStyle name="40% - Accent2 2 3 3 4 3" xfId="9974"/>
    <cellStyle name="40% - Accent2 2 3 3 4 3 2" xfId="18252"/>
    <cellStyle name="40% - Accent2 2 3 3 4 4" xfId="4330"/>
    <cellStyle name="40% - Accent2 2 3 3 4 5" xfId="12656"/>
    <cellStyle name="40% - Accent2 2 3 3 5" xfId="1400"/>
    <cellStyle name="40% - Accent2 2 3 3 5 2" xfId="7481"/>
    <cellStyle name="40% - Accent2 2 3 3 5 2 2" xfId="15763"/>
    <cellStyle name="40% - Accent2 2 3 3 5 3" xfId="9975"/>
    <cellStyle name="40% - Accent2 2 3 3 5 3 2" xfId="18253"/>
    <cellStyle name="40% - Accent2 2 3 3 5 4" xfId="4331"/>
    <cellStyle name="40% - Accent2 2 3 3 5 5" xfId="12657"/>
    <cellStyle name="40% - Accent2 2 3 3 6" xfId="6002"/>
    <cellStyle name="40% - Accent2 2 3 3 6 2" xfId="14284"/>
    <cellStyle name="40% - Accent2 2 3 3 7" xfId="7475"/>
    <cellStyle name="40% - Accent2 2 3 3 7 2" xfId="15757"/>
    <cellStyle name="40% - Accent2 2 3 3 8" xfId="9969"/>
    <cellStyle name="40% - Accent2 2 3 3 8 2" xfId="18247"/>
    <cellStyle name="40% - Accent2 2 3 3 9" xfId="4325"/>
    <cellStyle name="40% - Accent2 2 3 4" xfId="1401"/>
    <cellStyle name="40% - Accent2 2 3 4 2" xfId="1402"/>
    <cellStyle name="40% - Accent2 2 3 4 2 2" xfId="1403"/>
    <cellStyle name="40% - Accent2 2 3 4 2 2 2" xfId="7484"/>
    <cellStyle name="40% - Accent2 2 3 4 2 2 2 2" xfId="15766"/>
    <cellStyle name="40% - Accent2 2 3 4 2 2 3" xfId="9978"/>
    <cellStyle name="40% - Accent2 2 3 4 2 2 3 2" xfId="18256"/>
    <cellStyle name="40% - Accent2 2 3 4 2 2 4" xfId="4334"/>
    <cellStyle name="40% - Accent2 2 3 4 2 2 5" xfId="12660"/>
    <cellStyle name="40% - Accent2 2 3 4 2 3" xfId="7483"/>
    <cellStyle name="40% - Accent2 2 3 4 2 3 2" xfId="15765"/>
    <cellStyle name="40% - Accent2 2 3 4 2 4" xfId="9977"/>
    <cellStyle name="40% - Accent2 2 3 4 2 4 2" xfId="18255"/>
    <cellStyle name="40% - Accent2 2 3 4 2 5" xfId="4333"/>
    <cellStyle name="40% - Accent2 2 3 4 2 6" xfId="12659"/>
    <cellStyle name="40% - Accent2 2 3 4 3" xfId="1404"/>
    <cellStyle name="40% - Accent2 2 3 4 3 2" xfId="7485"/>
    <cellStyle name="40% - Accent2 2 3 4 3 2 2" xfId="15767"/>
    <cellStyle name="40% - Accent2 2 3 4 3 3" xfId="9979"/>
    <cellStyle name="40% - Accent2 2 3 4 3 3 2" xfId="18257"/>
    <cellStyle name="40% - Accent2 2 3 4 3 4" xfId="4335"/>
    <cellStyle name="40% - Accent2 2 3 4 3 5" xfId="12661"/>
    <cellStyle name="40% - Accent2 2 3 4 4" xfId="1405"/>
    <cellStyle name="40% - Accent2 2 3 4 4 2" xfId="7486"/>
    <cellStyle name="40% - Accent2 2 3 4 4 2 2" xfId="15768"/>
    <cellStyle name="40% - Accent2 2 3 4 4 3" xfId="9980"/>
    <cellStyle name="40% - Accent2 2 3 4 4 3 2" xfId="18258"/>
    <cellStyle name="40% - Accent2 2 3 4 4 4" xfId="4336"/>
    <cellStyle name="40% - Accent2 2 3 4 4 5" xfId="12662"/>
    <cellStyle name="40% - Accent2 2 3 4 5" xfId="5818"/>
    <cellStyle name="40% - Accent2 2 3 4 5 2" xfId="14100"/>
    <cellStyle name="40% - Accent2 2 3 4 6" xfId="7482"/>
    <cellStyle name="40% - Accent2 2 3 4 6 2" xfId="15764"/>
    <cellStyle name="40% - Accent2 2 3 4 7" xfId="9976"/>
    <cellStyle name="40% - Accent2 2 3 4 7 2" xfId="18254"/>
    <cellStyle name="40% - Accent2 2 3 4 8" xfId="4332"/>
    <cellStyle name="40% - Accent2 2 3 4 9" xfId="12658"/>
    <cellStyle name="40% - Accent2 2 3 5" xfId="1406"/>
    <cellStyle name="40% - Accent2 2 3 5 2" xfId="1407"/>
    <cellStyle name="40% - Accent2 2 3 5 2 2" xfId="7488"/>
    <cellStyle name="40% - Accent2 2 3 5 2 2 2" xfId="15770"/>
    <cellStyle name="40% - Accent2 2 3 5 2 3" xfId="9982"/>
    <cellStyle name="40% - Accent2 2 3 5 2 3 2" xfId="18260"/>
    <cellStyle name="40% - Accent2 2 3 5 2 4" xfId="4338"/>
    <cellStyle name="40% - Accent2 2 3 5 2 5" xfId="12664"/>
    <cellStyle name="40% - Accent2 2 3 5 3" xfId="7487"/>
    <cellStyle name="40% - Accent2 2 3 5 3 2" xfId="15769"/>
    <cellStyle name="40% - Accent2 2 3 5 4" xfId="9981"/>
    <cellStyle name="40% - Accent2 2 3 5 4 2" xfId="18259"/>
    <cellStyle name="40% - Accent2 2 3 5 5" xfId="4337"/>
    <cellStyle name="40% - Accent2 2 3 5 6" xfId="12663"/>
    <cellStyle name="40% - Accent2 2 3 6" xfId="1408"/>
    <cellStyle name="40% - Accent2 2 3 6 2" xfId="1409"/>
    <cellStyle name="40% - Accent2 2 3 6 2 2" xfId="7490"/>
    <cellStyle name="40% - Accent2 2 3 6 2 2 2" xfId="15772"/>
    <cellStyle name="40% - Accent2 2 3 6 2 3" xfId="9984"/>
    <cellStyle name="40% - Accent2 2 3 6 2 3 2" xfId="18262"/>
    <cellStyle name="40% - Accent2 2 3 6 2 4" xfId="4340"/>
    <cellStyle name="40% - Accent2 2 3 6 2 5" xfId="12666"/>
    <cellStyle name="40% - Accent2 2 3 6 3" xfId="7489"/>
    <cellStyle name="40% - Accent2 2 3 6 3 2" xfId="15771"/>
    <cellStyle name="40% - Accent2 2 3 6 4" xfId="9983"/>
    <cellStyle name="40% - Accent2 2 3 6 4 2" xfId="18261"/>
    <cellStyle name="40% - Accent2 2 3 6 5" xfId="4339"/>
    <cellStyle name="40% - Accent2 2 3 6 6" xfId="12665"/>
    <cellStyle name="40% - Accent2 2 3 7" xfId="1410"/>
    <cellStyle name="40% - Accent2 2 3 7 2" xfId="7491"/>
    <cellStyle name="40% - Accent2 2 3 7 2 2" xfId="15773"/>
    <cellStyle name="40% - Accent2 2 3 7 3" xfId="9985"/>
    <cellStyle name="40% - Accent2 2 3 7 3 2" xfId="18263"/>
    <cellStyle name="40% - Accent2 2 3 7 4" xfId="4341"/>
    <cellStyle name="40% - Accent2 2 3 7 5" xfId="12667"/>
    <cellStyle name="40% - Accent2 2 3 8" xfId="1411"/>
    <cellStyle name="40% - Accent2 2 3 8 2" xfId="7492"/>
    <cellStyle name="40% - Accent2 2 3 8 2 2" xfId="15774"/>
    <cellStyle name="40% - Accent2 2 3 8 3" xfId="9986"/>
    <cellStyle name="40% - Accent2 2 3 8 3 2" xfId="18264"/>
    <cellStyle name="40% - Accent2 2 3 8 4" xfId="4342"/>
    <cellStyle name="40% - Accent2 2 3 8 5" xfId="12668"/>
    <cellStyle name="40% - Accent2 2 3 9" xfId="5702"/>
    <cellStyle name="40% - Accent2 2 3 9 2" xfId="13988"/>
    <cellStyle name="40% - Accent2 2 4" xfId="1412"/>
    <cellStyle name="40% - Accent2 2 4 10" xfId="12669"/>
    <cellStyle name="40% - Accent2 2 4 2" xfId="1413"/>
    <cellStyle name="40% - Accent2 2 4 2 2" xfId="1414"/>
    <cellStyle name="40% - Accent2 2 4 2 2 2" xfId="7495"/>
    <cellStyle name="40% - Accent2 2 4 2 2 2 2" xfId="15777"/>
    <cellStyle name="40% - Accent2 2 4 2 2 3" xfId="9989"/>
    <cellStyle name="40% - Accent2 2 4 2 2 3 2" xfId="18267"/>
    <cellStyle name="40% - Accent2 2 4 2 2 4" xfId="4345"/>
    <cellStyle name="40% - Accent2 2 4 2 2 5" xfId="12671"/>
    <cellStyle name="40% - Accent2 2 4 2 3" xfId="7494"/>
    <cellStyle name="40% - Accent2 2 4 2 3 2" xfId="15776"/>
    <cellStyle name="40% - Accent2 2 4 2 4" xfId="9988"/>
    <cellStyle name="40% - Accent2 2 4 2 4 2" xfId="18266"/>
    <cellStyle name="40% - Accent2 2 4 2 5" xfId="4344"/>
    <cellStyle name="40% - Accent2 2 4 2 6" xfId="12670"/>
    <cellStyle name="40% - Accent2 2 4 3" xfId="1415"/>
    <cellStyle name="40% - Accent2 2 4 3 2" xfId="1416"/>
    <cellStyle name="40% - Accent2 2 4 3 2 2" xfId="7497"/>
    <cellStyle name="40% - Accent2 2 4 3 2 2 2" xfId="15779"/>
    <cellStyle name="40% - Accent2 2 4 3 2 3" xfId="9991"/>
    <cellStyle name="40% - Accent2 2 4 3 2 3 2" xfId="18269"/>
    <cellStyle name="40% - Accent2 2 4 3 2 4" xfId="4347"/>
    <cellStyle name="40% - Accent2 2 4 3 2 5" xfId="12673"/>
    <cellStyle name="40% - Accent2 2 4 3 3" xfId="7496"/>
    <cellStyle name="40% - Accent2 2 4 3 3 2" xfId="15778"/>
    <cellStyle name="40% - Accent2 2 4 3 4" xfId="9990"/>
    <cellStyle name="40% - Accent2 2 4 3 4 2" xfId="18268"/>
    <cellStyle name="40% - Accent2 2 4 3 5" xfId="4346"/>
    <cellStyle name="40% - Accent2 2 4 3 6" xfId="12672"/>
    <cellStyle name="40% - Accent2 2 4 4" xfId="1417"/>
    <cellStyle name="40% - Accent2 2 4 4 2" xfId="7498"/>
    <cellStyle name="40% - Accent2 2 4 4 2 2" xfId="15780"/>
    <cellStyle name="40% - Accent2 2 4 4 3" xfId="9992"/>
    <cellStyle name="40% - Accent2 2 4 4 3 2" xfId="18270"/>
    <cellStyle name="40% - Accent2 2 4 4 4" xfId="4348"/>
    <cellStyle name="40% - Accent2 2 4 4 5" xfId="12674"/>
    <cellStyle name="40% - Accent2 2 4 5" xfId="1418"/>
    <cellStyle name="40% - Accent2 2 4 5 2" xfId="7499"/>
    <cellStyle name="40% - Accent2 2 4 5 2 2" xfId="15781"/>
    <cellStyle name="40% - Accent2 2 4 5 3" xfId="9993"/>
    <cellStyle name="40% - Accent2 2 4 5 3 2" xfId="18271"/>
    <cellStyle name="40% - Accent2 2 4 5 4" xfId="4349"/>
    <cellStyle name="40% - Accent2 2 4 5 5" xfId="12675"/>
    <cellStyle name="40% - Accent2 2 4 6" xfId="5762"/>
    <cellStyle name="40% - Accent2 2 4 6 2" xfId="14046"/>
    <cellStyle name="40% - Accent2 2 4 7" xfId="7493"/>
    <cellStyle name="40% - Accent2 2 4 7 2" xfId="15775"/>
    <cellStyle name="40% - Accent2 2 4 8" xfId="9987"/>
    <cellStyle name="40% - Accent2 2 4 8 2" xfId="18265"/>
    <cellStyle name="40% - Accent2 2 4 9" xfId="4343"/>
    <cellStyle name="40% - Accent2 2 5" xfId="1419"/>
    <cellStyle name="40% - Accent2 2 5 10" xfId="12676"/>
    <cellStyle name="40% - Accent2 2 5 2" xfId="1420"/>
    <cellStyle name="40% - Accent2 2 5 2 2" xfId="1421"/>
    <cellStyle name="40% - Accent2 2 5 2 2 2" xfId="7502"/>
    <cellStyle name="40% - Accent2 2 5 2 2 2 2" xfId="15784"/>
    <cellStyle name="40% - Accent2 2 5 2 2 3" xfId="9996"/>
    <cellStyle name="40% - Accent2 2 5 2 2 3 2" xfId="18274"/>
    <cellStyle name="40% - Accent2 2 5 2 2 4" xfId="4352"/>
    <cellStyle name="40% - Accent2 2 5 2 2 5" xfId="12678"/>
    <cellStyle name="40% - Accent2 2 5 2 3" xfId="7501"/>
    <cellStyle name="40% - Accent2 2 5 2 3 2" xfId="15783"/>
    <cellStyle name="40% - Accent2 2 5 2 4" xfId="9995"/>
    <cellStyle name="40% - Accent2 2 5 2 4 2" xfId="18273"/>
    <cellStyle name="40% - Accent2 2 5 2 5" xfId="4351"/>
    <cellStyle name="40% - Accent2 2 5 2 6" xfId="12677"/>
    <cellStyle name="40% - Accent2 2 5 3" xfId="1422"/>
    <cellStyle name="40% - Accent2 2 5 3 2" xfId="1423"/>
    <cellStyle name="40% - Accent2 2 5 3 2 2" xfId="7504"/>
    <cellStyle name="40% - Accent2 2 5 3 2 2 2" xfId="15786"/>
    <cellStyle name="40% - Accent2 2 5 3 2 3" xfId="9998"/>
    <cellStyle name="40% - Accent2 2 5 3 2 3 2" xfId="18276"/>
    <cellStyle name="40% - Accent2 2 5 3 2 4" xfId="4354"/>
    <cellStyle name="40% - Accent2 2 5 3 2 5" xfId="12680"/>
    <cellStyle name="40% - Accent2 2 5 3 3" xfId="7503"/>
    <cellStyle name="40% - Accent2 2 5 3 3 2" xfId="15785"/>
    <cellStyle name="40% - Accent2 2 5 3 4" xfId="9997"/>
    <cellStyle name="40% - Accent2 2 5 3 4 2" xfId="18275"/>
    <cellStyle name="40% - Accent2 2 5 3 5" xfId="4353"/>
    <cellStyle name="40% - Accent2 2 5 3 6" xfId="12679"/>
    <cellStyle name="40% - Accent2 2 5 4" xfId="1424"/>
    <cellStyle name="40% - Accent2 2 5 4 2" xfId="7505"/>
    <cellStyle name="40% - Accent2 2 5 4 2 2" xfId="15787"/>
    <cellStyle name="40% - Accent2 2 5 4 3" xfId="9999"/>
    <cellStyle name="40% - Accent2 2 5 4 3 2" xfId="18277"/>
    <cellStyle name="40% - Accent2 2 5 4 4" xfId="4355"/>
    <cellStyle name="40% - Accent2 2 5 4 5" xfId="12681"/>
    <cellStyle name="40% - Accent2 2 5 5" xfId="1425"/>
    <cellStyle name="40% - Accent2 2 5 5 2" xfId="7506"/>
    <cellStyle name="40% - Accent2 2 5 5 2 2" xfId="15788"/>
    <cellStyle name="40% - Accent2 2 5 5 3" xfId="10000"/>
    <cellStyle name="40% - Accent2 2 5 5 3 2" xfId="18278"/>
    <cellStyle name="40% - Accent2 2 5 5 4" xfId="4356"/>
    <cellStyle name="40% - Accent2 2 5 5 5" xfId="12682"/>
    <cellStyle name="40% - Accent2 2 5 6" xfId="5850"/>
    <cellStyle name="40% - Accent2 2 5 6 2" xfId="14132"/>
    <cellStyle name="40% - Accent2 2 5 7" xfId="7500"/>
    <cellStyle name="40% - Accent2 2 5 7 2" xfId="15782"/>
    <cellStyle name="40% - Accent2 2 5 8" xfId="9994"/>
    <cellStyle name="40% - Accent2 2 5 8 2" xfId="18272"/>
    <cellStyle name="40% - Accent2 2 5 9" xfId="4350"/>
    <cellStyle name="40% - Accent2 2 6" xfId="1426"/>
    <cellStyle name="40% - Accent2 2 6 10" xfId="12683"/>
    <cellStyle name="40% - Accent2 2 6 2" xfId="1427"/>
    <cellStyle name="40% - Accent2 2 6 2 2" xfId="1428"/>
    <cellStyle name="40% - Accent2 2 6 2 2 2" xfId="7509"/>
    <cellStyle name="40% - Accent2 2 6 2 2 2 2" xfId="15791"/>
    <cellStyle name="40% - Accent2 2 6 2 2 3" xfId="10003"/>
    <cellStyle name="40% - Accent2 2 6 2 2 3 2" xfId="18281"/>
    <cellStyle name="40% - Accent2 2 6 2 2 4" xfId="4359"/>
    <cellStyle name="40% - Accent2 2 6 2 2 5" xfId="12685"/>
    <cellStyle name="40% - Accent2 2 6 2 3" xfId="7508"/>
    <cellStyle name="40% - Accent2 2 6 2 3 2" xfId="15790"/>
    <cellStyle name="40% - Accent2 2 6 2 4" xfId="10002"/>
    <cellStyle name="40% - Accent2 2 6 2 4 2" xfId="18280"/>
    <cellStyle name="40% - Accent2 2 6 2 5" xfId="4358"/>
    <cellStyle name="40% - Accent2 2 6 2 6" xfId="12684"/>
    <cellStyle name="40% - Accent2 2 6 3" xfId="1429"/>
    <cellStyle name="40% - Accent2 2 6 3 2" xfId="1430"/>
    <cellStyle name="40% - Accent2 2 6 3 2 2" xfId="7511"/>
    <cellStyle name="40% - Accent2 2 6 3 2 2 2" xfId="15793"/>
    <cellStyle name="40% - Accent2 2 6 3 2 3" xfId="10005"/>
    <cellStyle name="40% - Accent2 2 6 3 2 3 2" xfId="18283"/>
    <cellStyle name="40% - Accent2 2 6 3 2 4" xfId="4361"/>
    <cellStyle name="40% - Accent2 2 6 3 2 5" xfId="12687"/>
    <cellStyle name="40% - Accent2 2 6 3 3" xfId="7510"/>
    <cellStyle name="40% - Accent2 2 6 3 3 2" xfId="15792"/>
    <cellStyle name="40% - Accent2 2 6 3 4" xfId="10004"/>
    <cellStyle name="40% - Accent2 2 6 3 4 2" xfId="18282"/>
    <cellStyle name="40% - Accent2 2 6 3 5" xfId="4360"/>
    <cellStyle name="40% - Accent2 2 6 3 6" xfId="12686"/>
    <cellStyle name="40% - Accent2 2 6 4" xfId="1431"/>
    <cellStyle name="40% - Accent2 2 6 4 2" xfId="7512"/>
    <cellStyle name="40% - Accent2 2 6 4 2 2" xfId="15794"/>
    <cellStyle name="40% - Accent2 2 6 4 3" xfId="10006"/>
    <cellStyle name="40% - Accent2 2 6 4 3 2" xfId="18284"/>
    <cellStyle name="40% - Accent2 2 6 4 4" xfId="4362"/>
    <cellStyle name="40% - Accent2 2 6 4 5" xfId="12688"/>
    <cellStyle name="40% - Accent2 2 6 5" xfId="1432"/>
    <cellStyle name="40% - Accent2 2 6 5 2" xfId="7513"/>
    <cellStyle name="40% - Accent2 2 6 5 2 2" xfId="15795"/>
    <cellStyle name="40% - Accent2 2 6 5 3" xfId="10007"/>
    <cellStyle name="40% - Accent2 2 6 5 3 2" xfId="18285"/>
    <cellStyle name="40% - Accent2 2 6 5 4" xfId="4363"/>
    <cellStyle name="40% - Accent2 2 6 5 5" xfId="12689"/>
    <cellStyle name="40% - Accent2 2 6 6" xfId="5948"/>
    <cellStyle name="40% - Accent2 2 6 6 2" xfId="14230"/>
    <cellStyle name="40% - Accent2 2 6 7" xfId="7507"/>
    <cellStyle name="40% - Accent2 2 6 7 2" xfId="15789"/>
    <cellStyle name="40% - Accent2 2 6 8" xfId="10001"/>
    <cellStyle name="40% - Accent2 2 6 8 2" xfId="18279"/>
    <cellStyle name="40% - Accent2 2 6 9" xfId="4357"/>
    <cellStyle name="40% - Accent2 2 7" xfId="1433"/>
    <cellStyle name="40% - Accent2 2 7 2" xfId="1434"/>
    <cellStyle name="40% - Accent2 2 7 2 2" xfId="1435"/>
    <cellStyle name="40% - Accent2 2 7 2 2 2" xfId="7516"/>
    <cellStyle name="40% - Accent2 2 7 2 2 2 2" xfId="15798"/>
    <cellStyle name="40% - Accent2 2 7 2 2 3" xfId="10010"/>
    <cellStyle name="40% - Accent2 2 7 2 2 3 2" xfId="18288"/>
    <cellStyle name="40% - Accent2 2 7 2 2 4" xfId="4366"/>
    <cellStyle name="40% - Accent2 2 7 2 2 5" xfId="12692"/>
    <cellStyle name="40% - Accent2 2 7 2 3" xfId="7515"/>
    <cellStyle name="40% - Accent2 2 7 2 3 2" xfId="15797"/>
    <cellStyle name="40% - Accent2 2 7 2 4" xfId="10009"/>
    <cellStyle name="40% - Accent2 2 7 2 4 2" xfId="18287"/>
    <cellStyle name="40% - Accent2 2 7 2 5" xfId="4365"/>
    <cellStyle name="40% - Accent2 2 7 2 6" xfId="12691"/>
    <cellStyle name="40% - Accent2 2 7 3" xfId="1436"/>
    <cellStyle name="40% - Accent2 2 7 3 2" xfId="7517"/>
    <cellStyle name="40% - Accent2 2 7 3 2 2" xfId="15799"/>
    <cellStyle name="40% - Accent2 2 7 3 3" xfId="10011"/>
    <cellStyle name="40% - Accent2 2 7 3 3 2" xfId="18289"/>
    <cellStyle name="40% - Accent2 2 7 3 4" xfId="4367"/>
    <cellStyle name="40% - Accent2 2 7 3 5" xfId="12693"/>
    <cellStyle name="40% - Accent2 2 7 4" xfId="1437"/>
    <cellStyle name="40% - Accent2 2 7 4 2" xfId="7518"/>
    <cellStyle name="40% - Accent2 2 7 4 2 2" xfId="15800"/>
    <cellStyle name="40% - Accent2 2 7 4 3" xfId="10012"/>
    <cellStyle name="40% - Accent2 2 7 4 3 2" xfId="18290"/>
    <cellStyle name="40% - Accent2 2 7 4 4" xfId="4368"/>
    <cellStyle name="40% - Accent2 2 7 4 5" xfId="12694"/>
    <cellStyle name="40% - Accent2 2 7 5" xfId="5730"/>
    <cellStyle name="40% - Accent2 2 7 5 2" xfId="14016"/>
    <cellStyle name="40% - Accent2 2 7 6" xfId="7514"/>
    <cellStyle name="40% - Accent2 2 7 6 2" xfId="15796"/>
    <cellStyle name="40% - Accent2 2 7 7" xfId="10008"/>
    <cellStyle name="40% - Accent2 2 7 7 2" xfId="18286"/>
    <cellStyle name="40% - Accent2 2 7 8" xfId="4364"/>
    <cellStyle name="40% - Accent2 2 7 9" xfId="12690"/>
    <cellStyle name="40% - Accent2 2 8" xfId="1438"/>
    <cellStyle name="40% - Accent2 2 8 2" xfId="1439"/>
    <cellStyle name="40% - Accent2 2 8 2 2" xfId="7520"/>
    <cellStyle name="40% - Accent2 2 8 2 2 2" xfId="15802"/>
    <cellStyle name="40% - Accent2 2 8 2 3" xfId="10014"/>
    <cellStyle name="40% - Accent2 2 8 2 3 2" xfId="18292"/>
    <cellStyle name="40% - Accent2 2 8 2 4" xfId="4370"/>
    <cellStyle name="40% - Accent2 2 8 2 5" xfId="12696"/>
    <cellStyle name="40% - Accent2 2 8 3" xfId="7519"/>
    <cellStyle name="40% - Accent2 2 8 3 2" xfId="15801"/>
    <cellStyle name="40% - Accent2 2 8 4" xfId="10013"/>
    <cellStyle name="40% - Accent2 2 8 4 2" xfId="18291"/>
    <cellStyle name="40% - Accent2 2 8 5" xfId="4369"/>
    <cellStyle name="40% - Accent2 2 8 6" xfId="12695"/>
    <cellStyle name="40% - Accent2 2 9" xfId="1440"/>
    <cellStyle name="40% - Accent2 2 9 2" xfId="1441"/>
    <cellStyle name="40% - Accent2 2 9 2 2" xfId="7522"/>
    <cellStyle name="40% - Accent2 2 9 2 2 2" xfId="15804"/>
    <cellStyle name="40% - Accent2 2 9 2 3" xfId="10016"/>
    <cellStyle name="40% - Accent2 2 9 2 3 2" xfId="18294"/>
    <cellStyle name="40% - Accent2 2 9 2 4" xfId="4372"/>
    <cellStyle name="40% - Accent2 2 9 2 5" xfId="12698"/>
    <cellStyle name="40% - Accent2 2 9 3" xfId="7521"/>
    <cellStyle name="40% - Accent2 2 9 3 2" xfId="15803"/>
    <cellStyle name="40% - Accent2 2 9 4" xfId="10015"/>
    <cellStyle name="40% - Accent2 2 9 4 2" xfId="18293"/>
    <cellStyle name="40% - Accent2 2 9 5" xfId="4371"/>
    <cellStyle name="40% - Accent2 2 9 6" xfId="12697"/>
    <cellStyle name="40% - Accent2 20" xfId="12595"/>
    <cellStyle name="40% - Accent2 21" xfId="19350"/>
    <cellStyle name="40% - Accent2 3" xfId="1442"/>
    <cellStyle name="40% - Accent2 3 10" xfId="7523"/>
    <cellStyle name="40% - Accent2 3 10 2" xfId="15805"/>
    <cellStyle name="40% - Accent2 3 11" xfId="10017"/>
    <cellStyle name="40% - Accent2 3 11 2" xfId="18295"/>
    <cellStyle name="40% - Accent2 3 12" xfId="4373"/>
    <cellStyle name="40% - Accent2 3 13" xfId="12699"/>
    <cellStyle name="40% - Accent2 3 2" xfId="1443"/>
    <cellStyle name="40% - Accent2 3 2 10" xfId="12700"/>
    <cellStyle name="40% - Accent2 3 2 2" xfId="1444"/>
    <cellStyle name="40% - Accent2 3 2 2 2" xfId="1445"/>
    <cellStyle name="40% - Accent2 3 2 2 2 2" xfId="7526"/>
    <cellStyle name="40% - Accent2 3 2 2 2 2 2" xfId="15808"/>
    <cellStyle name="40% - Accent2 3 2 2 2 3" xfId="10020"/>
    <cellStyle name="40% - Accent2 3 2 2 2 3 2" xfId="18298"/>
    <cellStyle name="40% - Accent2 3 2 2 2 4" xfId="4376"/>
    <cellStyle name="40% - Accent2 3 2 2 2 5" xfId="12702"/>
    <cellStyle name="40% - Accent2 3 2 2 3" xfId="7525"/>
    <cellStyle name="40% - Accent2 3 2 2 3 2" xfId="15807"/>
    <cellStyle name="40% - Accent2 3 2 2 4" xfId="10019"/>
    <cellStyle name="40% - Accent2 3 2 2 4 2" xfId="18297"/>
    <cellStyle name="40% - Accent2 3 2 2 5" xfId="4375"/>
    <cellStyle name="40% - Accent2 3 2 2 6" xfId="12701"/>
    <cellStyle name="40% - Accent2 3 2 3" xfId="1446"/>
    <cellStyle name="40% - Accent2 3 2 3 2" xfId="1447"/>
    <cellStyle name="40% - Accent2 3 2 3 2 2" xfId="7528"/>
    <cellStyle name="40% - Accent2 3 2 3 2 2 2" xfId="15810"/>
    <cellStyle name="40% - Accent2 3 2 3 2 3" xfId="10022"/>
    <cellStyle name="40% - Accent2 3 2 3 2 3 2" xfId="18300"/>
    <cellStyle name="40% - Accent2 3 2 3 2 4" xfId="4378"/>
    <cellStyle name="40% - Accent2 3 2 3 2 5" xfId="12704"/>
    <cellStyle name="40% - Accent2 3 2 3 3" xfId="7527"/>
    <cellStyle name="40% - Accent2 3 2 3 3 2" xfId="15809"/>
    <cellStyle name="40% - Accent2 3 2 3 4" xfId="10021"/>
    <cellStyle name="40% - Accent2 3 2 3 4 2" xfId="18299"/>
    <cellStyle name="40% - Accent2 3 2 3 5" xfId="4377"/>
    <cellStyle name="40% - Accent2 3 2 3 6" xfId="12703"/>
    <cellStyle name="40% - Accent2 3 2 4" xfId="1448"/>
    <cellStyle name="40% - Accent2 3 2 4 2" xfId="7529"/>
    <cellStyle name="40% - Accent2 3 2 4 2 2" xfId="15811"/>
    <cellStyle name="40% - Accent2 3 2 4 3" xfId="10023"/>
    <cellStyle name="40% - Accent2 3 2 4 3 2" xfId="18301"/>
    <cellStyle name="40% - Accent2 3 2 4 4" xfId="4379"/>
    <cellStyle name="40% - Accent2 3 2 4 5" xfId="12705"/>
    <cellStyle name="40% - Accent2 3 2 5" xfId="1449"/>
    <cellStyle name="40% - Accent2 3 2 5 2" xfId="7530"/>
    <cellStyle name="40% - Accent2 3 2 5 2 2" xfId="15812"/>
    <cellStyle name="40% - Accent2 3 2 5 3" xfId="10024"/>
    <cellStyle name="40% - Accent2 3 2 5 3 2" xfId="18302"/>
    <cellStyle name="40% - Accent2 3 2 5 4" xfId="4380"/>
    <cellStyle name="40% - Accent2 3 2 5 5" xfId="12706"/>
    <cellStyle name="40% - Accent2 3 2 6" xfId="5864"/>
    <cellStyle name="40% - Accent2 3 2 6 2" xfId="14146"/>
    <cellStyle name="40% - Accent2 3 2 7" xfId="7524"/>
    <cellStyle name="40% - Accent2 3 2 7 2" xfId="15806"/>
    <cellStyle name="40% - Accent2 3 2 8" xfId="10018"/>
    <cellStyle name="40% - Accent2 3 2 8 2" xfId="18296"/>
    <cellStyle name="40% - Accent2 3 2 9" xfId="4374"/>
    <cellStyle name="40% - Accent2 3 3" xfId="1450"/>
    <cellStyle name="40% - Accent2 3 3 10" xfId="12707"/>
    <cellStyle name="40% - Accent2 3 3 2" xfId="1451"/>
    <cellStyle name="40% - Accent2 3 3 2 2" xfId="1452"/>
    <cellStyle name="40% - Accent2 3 3 2 2 2" xfId="7533"/>
    <cellStyle name="40% - Accent2 3 3 2 2 2 2" xfId="15815"/>
    <cellStyle name="40% - Accent2 3 3 2 2 3" xfId="10027"/>
    <cellStyle name="40% - Accent2 3 3 2 2 3 2" xfId="18305"/>
    <cellStyle name="40% - Accent2 3 3 2 2 4" xfId="4383"/>
    <cellStyle name="40% - Accent2 3 3 2 2 5" xfId="12709"/>
    <cellStyle name="40% - Accent2 3 3 2 3" xfId="7532"/>
    <cellStyle name="40% - Accent2 3 3 2 3 2" xfId="15814"/>
    <cellStyle name="40% - Accent2 3 3 2 4" xfId="10026"/>
    <cellStyle name="40% - Accent2 3 3 2 4 2" xfId="18304"/>
    <cellStyle name="40% - Accent2 3 3 2 5" xfId="4382"/>
    <cellStyle name="40% - Accent2 3 3 2 6" xfId="12708"/>
    <cellStyle name="40% - Accent2 3 3 3" xfId="1453"/>
    <cellStyle name="40% - Accent2 3 3 3 2" xfId="1454"/>
    <cellStyle name="40% - Accent2 3 3 3 2 2" xfId="7535"/>
    <cellStyle name="40% - Accent2 3 3 3 2 2 2" xfId="15817"/>
    <cellStyle name="40% - Accent2 3 3 3 2 3" xfId="10029"/>
    <cellStyle name="40% - Accent2 3 3 3 2 3 2" xfId="18307"/>
    <cellStyle name="40% - Accent2 3 3 3 2 4" xfId="4385"/>
    <cellStyle name="40% - Accent2 3 3 3 2 5" xfId="12711"/>
    <cellStyle name="40% - Accent2 3 3 3 3" xfId="7534"/>
    <cellStyle name="40% - Accent2 3 3 3 3 2" xfId="15816"/>
    <cellStyle name="40% - Accent2 3 3 3 4" xfId="10028"/>
    <cellStyle name="40% - Accent2 3 3 3 4 2" xfId="18306"/>
    <cellStyle name="40% - Accent2 3 3 3 5" xfId="4384"/>
    <cellStyle name="40% - Accent2 3 3 3 6" xfId="12710"/>
    <cellStyle name="40% - Accent2 3 3 4" xfId="1455"/>
    <cellStyle name="40% - Accent2 3 3 4 2" xfId="7536"/>
    <cellStyle name="40% - Accent2 3 3 4 2 2" xfId="15818"/>
    <cellStyle name="40% - Accent2 3 3 4 3" xfId="10030"/>
    <cellStyle name="40% - Accent2 3 3 4 3 2" xfId="18308"/>
    <cellStyle name="40% - Accent2 3 3 4 4" xfId="4386"/>
    <cellStyle name="40% - Accent2 3 3 4 5" xfId="12712"/>
    <cellStyle name="40% - Accent2 3 3 5" xfId="1456"/>
    <cellStyle name="40% - Accent2 3 3 5 2" xfId="7537"/>
    <cellStyle name="40% - Accent2 3 3 5 2 2" xfId="15819"/>
    <cellStyle name="40% - Accent2 3 3 5 3" xfId="10031"/>
    <cellStyle name="40% - Accent2 3 3 5 3 2" xfId="18309"/>
    <cellStyle name="40% - Accent2 3 3 5 4" xfId="4387"/>
    <cellStyle name="40% - Accent2 3 3 5 5" xfId="12713"/>
    <cellStyle name="40% - Accent2 3 3 6" xfId="5962"/>
    <cellStyle name="40% - Accent2 3 3 6 2" xfId="14244"/>
    <cellStyle name="40% - Accent2 3 3 7" xfId="7531"/>
    <cellStyle name="40% - Accent2 3 3 7 2" xfId="15813"/>
    <cellStyle name="40% - Accent2 3 3 8" xfId="10025"/>
    <cellStyle name="40% - Accent2 3 3 8 2" xfId="18303"/>
    <cellStyle name="40% - Accent2 3 3 9" xfId="4381"/>
    <cellStyle name="40% - Accent2 3 4" xfId="1457"/>
    <cellStyle name="40% - Accent2 3 4 2" xfId="1458"/>
    <cellStyle name="40% - Accent2 3 4 2 2" xfId="1459"/>
    <cellStyle name="40% - Accent2 3 4 2 2 2" xfId="7540"/>
    <cellStyle name="40% - Accent2 3 4 2 2 2 2" xfId="15822"/>
    <cellStyle name="40% - Accent2 3 4 2 2 3" xfId="10034"/>
    <cellStyle name="40% - Accent2 3 4 2 2 3 2" xfId="18312"/>
    <cellStyle name="40% - Accent2 3 4 2 2 4" xfId="4390"/>
    <cellStyle name="40% - Accent2 3 4 2 2 5" xfId="12716"/>
    <cellStyle name="40% - Accent2 3 4 2 3" xfId="7539"/>
    <cellStyle name="40% - Accent2 3 4 2 3 2" xfId="15821"/>
    <cellStyle name="40% - Accent2 3 4 2 4" xfId="10033"/>
    <cellStyle name="40% - Accent2 3 4 2 4 2" xfId="18311"/>
    <cellStyle name="40% - Accent2 3 4 2 5" xfId="4389"/>
    <cellStyle name="40% - Accent2 3 4 2 6" xfId="12715"/>
    <cellStyle name="40% - Accent2 3 4 3" xfId="1460"/>
    <cellStyle name="40% - Accent2 3 4 3 2" xfId="7541"/>
    <cellStyle name="40% - Accent2 3 4 3 2 2" xfId="15823"/>
    <cellStyle name="40% - Accent2 3 4 3 3" xfId="10035"/>
    <cellStyle name="40% - Accent2 3 4 3 3 2" xfId="18313"/>
    <cellStyle name="40% - Accent2 3 4 3 4" xfId="4391"/>
    <cellStyle name="40% - Accent2 3 4 3 5" xfId="12717"/>
    <cellStyle name="40% - Accent2 3 4 4" xfId="1461"/>
    <cellStyle name="40% - Accent2 3 4 4 2" xfId="7542"/>
    <cellStyle name="40% - Accent2 3 4 4 2 2" xfId="15824"/>
    <cellStyle name="40% - Accent2 3 4 4 3" xfId="10036"/>
    <cellStyle name="40% - Accent2 3 4 4 3 2" xfId="18314"/>
    <cellStyle name="40% - Accent2 3 4 4 4" xfId="4392"/>
    <cellStyle name="40% - Accent2 3 4 4 5" xfId="12718"/>
    <cellStyle name="40% - Accent2 3 4 5" xfId="5778"/>
    <cellStyle name="40% - Accent2 3 4 5 2" xfId="14060"/>
    <cellStyle name="40% - Accent2 3 4 6" xfId="7538"/>
    <cellStyle name="40% - Accent2 3 4 6 2" xfId="15820"/>
    <cellStyle name="40% - Accent2 3 4 7" xfId="10032"/>
    <cellStyle name="40% - Accent2 3 4 7 2" xfId="18310"/>
    <cellStyle name="40% - Accent2 3 4 8" xfId="4388"/>
    <cellStyle name="40% - Accent2 3 4 9" xfId="12714"/>
    <cellStyle name="40% - Accent2 3 5" xfId="1462"/>
    <cellStyle name="40% - Accent2 3 5 2" xfId="1463"/>
    <cellStyle name="40% - Accent2 3 5 2 2" xfId="7544"/>
    <cellStyle name="40% - Accent2 3 5 2 2 2" xfId="15826"/>
    <cellStyle name="40% - Accent2 3 5 2 3" xfId="10038"/>
    <cellStyle name="40% - Accent2 3 5 2 3 2" xfId="18316"/>
    <cellStyle name="40% - Accent2 3 5 2 4" xfId="4394"/>
    <cellStyle name="40% - Accent2 3 5 2 5" xfId="12720"/>
    <cellStyle name="40% - Accent2 3 5 3" xfId="7543"/>
    <cellStyle name="40% - Accent2 3 5 3 2" xfId="15825"/>
    <cellStyle name="40% - Accent2 3 5 4" xfId="10037"/>
    <cellStyle name="40% - Accent2 3 5 4 2" xfId="18315"/>
    <cellStyle name="40% - Accent2 3 5 5" xfId="4393"/>
    <cellStyle name="40% - Accent2 3 5 6" xfId="12719"/>
    <cellStyle name="40% - Accent2 3 6" xfId="1464"/>
    <cellStyle name="40% - Accent2 3 6 2" xfId="1465"/>
    <cellStyle name="40% - Accent2 3 6 2 2" xfId="7546"/>
    <cellStyle name="40% - Accent2 3 6 2 2 2" xfId="15828"/>
    <cellStyle name="40% - Accent2 3 6 2 3" xfId="10040"/>
    <cellStyle name="40% - Accent2 3 6 2 3 2" xfId="18318"/>
    <cellStyle name="40% - Accent2 3 6 2 4" xfId="4396"/>
    <cellStyle name="40% - Accent2 3 6 2 5" xfId="12722"/>
    <cellStyle name="40% - Accent2 3 6 3" xfId="7545"/>
    <cellStyle name="40% - Accent2 3 6 3 2" xfId="15827"/>
    <cellStyle name="40% - Accent2 3 6 4" xfId="10039"/>
    <cellStyle name="40% - Accent2 3 6 4 2" xfId="18317"/>
    <cellStyle name="40% - Accent2 3 6 5" xfId="4395"/>
    <cellStyle name="40% - Accent2 3 6 6" xfId="12721"/>
    <cellStyle name="40% - Accent2 3 7" xfId="1466"/>
    <cellStyle name="40% - Accent2 3 7 2" xfId="7547"/>
    <cellStyle name="40% - Accent2 3 7 2 2" xfId="15829"/>
    <cellStyle name="40% - Accent2 3 7 3" xfId="10041"/>
    <cellStyle name="40% - Accent2 3 7 3 2" xfId="18319"/>
    <cellStyle name="40% - Accent2 3 7 4" xfId="4397"/>
    <cellStyle name="40% - Accent2 3 7 5" xfId="12723"/>
    <cellStyle name="40% - Accent2 3 8" xfId="1467"/>
    <cellStyle name="40% - Accent2 3 8 2" xfId="7548"/>
    <cellStyle name="40% - Accent2 3 8 2 2" xfId="15830"/>
    <cellStyle name="40% - Accent2 3 8 3" xfId="10042"/>
    <cellStyle name="40% - Accent2 3 8 3 2" xfId="18320"/>
    <cellStyle name="40% - Accent2 3 8 4" xfId="4398"/>
    <cellStyle name="40% - Accent2 3 8 5" xfId="12724"/>
    <cellStyle name="40% - Accent2 3 9" xfId="5661"/>
    <cellStyle name="40% - Accent2 3 9 2" xfId="13948"/>
    <cellStyle name="40% - Accent2 4" xfId="1468"/>
    <cellStyle name="40% - Accent2 4 10" xfId="7549"/>
    <cellStyle name="40% - Accent2 4 10 2" xfId="15831"/>
    <cellStyle name="40% - Accent2 4 11" xfId="10043"/>
    <cellStyle name="40% - Accent2 4 11 2" xfId="18321"/>
    <cellStyle name="40% - Accent2 4 12" xfId="4399"/>
    <cellStyle name="40% - Accent2 4 13" xfId="12725"/>
    <cellStyle name="40% - Accent2 4 2" xfId="1469"/>
    <cellStyle name="40% - Accent2 4 2 10" xfId="12726"/>
    <cellStyle name="40% - Accent2 4 2 2" xfId="1470"/>
    <cellStyle name="40% - Accent2 4 2 2 2" xfId="1471"/>
    <cellStyle name="40% - Accent2 4 2 2 2 2" xfId="7552"/>
    <cellStyle name="40% - Accent2 4 2 2 2 2 2" xfId="15834"/>
    <cellStyle name="40% - Accent2 4 2 2 2 3" xfId="10046"/>
    <cellStyle name="40% - Accent2 4 2 2 2 3 2" xfId="18324"/>
    <cellStyle name="40% - Accent2 4 2 2 2 4" xfId="4402"/>
    <cellStyle name="40% - Accent2 4 2 2 2 5" xfId="12728"/>
    <cellStyle name="40% - Accent2 4 2 2 3" xfId="7551"/>
    <cellStyle name="40% - Accent2 4 2 2 3 2" xfId="15833"/>
    <cellStyle name="40% - Accent2 4 2 2 4" xfId="10045"/>
    <cellStyle name="40% - Accent2 4 2 2 4 2" xfId="18323"/>
    <cellStyle name="40% - Accent2 4 2 2 5" xfId="4401"/>
    <cellStyle name="40% - Accent2 4 2 2 6" xfId="12727"/>
    <cellStyle name="40% - Accent2 4 2 3" xfId="1472"/>
    <cellStyle name="40% - Accent2 4 2 3 2" xfId="1473"/>
    <cellStyle name="40% - Accent2 4 2 3 2 2" xfId="7554"/>
    <cellStyle name="40% - Accent2 4 2 3 2 2 2" xfId="15836"/>
    <cellStyle name="40% - Accent2 4 2 3 2 3" xfId="10048"/>
    <cellStyle name="40% - Accent2 4 2 3 2 3 2" xfId="18326"/>
    <cellStyle name="40% - Accent2 4 2 3 2 4" xfId="4404"/>
    <cellStyle name="40% - Accent2 4 2 3 2 5" xfId="12730"/>
    <cellStyle name="40% - Accent2 4 2 3 3" xfId="7553"/>
    <cellStyle name="40% - Accent2 4 2 3 3 2" xfId="15835"/>
    <cellStyle name="40% - Accent2 4 2 3 4" xfId="10047"/>
    <cellStyle name="40% - Accent2 4 2 3 4 2" xfId="18325"/>
    <cellStyle name="40% - Accent2 4 2 3 5" xfId="4403"/>
    <cellStyle name="40% - Accent2 4 2 3 6" xfId="12729"/>
    <cellStyle name="40% - Accent2 4 2 4" xfId="1474"/>
    <cellStyle name="40% - Accent2 4 2 4 2" xfId="7555"/>
    <cellStyle name="40% - Accent2 4 2 4 2 2" xfId="15837"/>
    <cellStyle name="40% - Accent2 4 2 4 3" xfId="10049"/>
    <cellStyle name="40% - Accent2 4 2 4 3 2" xfId="18327"/>
    <cellStyle name="40% - Accent2 4 2 4 4" xfId="4405"/>
    <cellStyle name="40% - Accent2 4 2 4 5" xfId="12731"/>
    <cellStyle name="40% - Accent2 4 2 5" xfId="1475"/>
    <cellStyle name="40% - Accent2 4 2 5 2" xfId="7556"/>
    <cellStyle name="40% - Accent2 4 2 5 2 2" xfId="15838"/>
    <cellStyle name="40% - Accent2 4 2 5 3" xfId="10050"/>
    <cellStyle name="40% - Accent2 4 2 5 3 2" xfId="18328"/>
    <cellStyle name="40% - Accent2 4 2 5 4" xfId="4406"/>
    <cellStyle name="40% - Accent2 4 2 5 5" xfId="12732"/>
    <cellStyle name="40% - Accent2 4 2 6" xfId="5892"/>
    <cellStyle name="40% - Accent2 4 2 6 2" xfId="14174"/>
    <cellStyle name="40% - Accent2 4 2 7" xfId="7550"/>
    <cellStyle name="40% - Accent2 4 2 7 2" xfId="15832"/>
    <cellStyle name="40% - Accent2 4 2 8" xfId="10044"/>
    <cellStyle name="40% - Accent2 4 2 8 2" xfId="18322"/>
    <cellStyle name="40% - Accent2 4 2 9" xfId="4400"/>
    <cellStyle name="40% - Accent2 4 3" xfId="1476"/>
    <cellStyle name="40% - Accent2 4 3 10" xfId="12733"/>
    <cellStyle name="40% - Accent2 4 3 2" xfId="1477"/>
    <cellStyle name="40% - Accent2 4 3 2 2" xfId="1478"/>
    <cellStyle name="40% - Accent2 4 3 2 2 2" xfId="7559"/>
    <cellStyle name="40% - Accent2 4 3 2 2 2 2" xfId="15841"/>
    <cellStyle name="40% - Accent2 4 3 2 2 3" xfId="10053"/>
    <cellStyle name="40% - Accent2 4 3 2 2 3 2" xfId="18331"/>
    <cellStyle name="40% - Accent2 4 3 2 2 4" xfId="4409"/>
    <cellStyle name="40% - Accent2 4 3 2 2 5" xfId="12735"/>
    <cellStyle name="40% - Accent2 4 3 2 3" xfId="7558"/>
    <cellStyle name="40% - Accent2 4 3 2 3 2" xfId="15840"/>
    <cellStyle name="40% - Accent2 4 3 2 4" xfId="10052"/>
    <cellStyle name="40% - Accent2 4 3 2 4 2" xfId="18330"/>
    <cellStyle name="40% - Accent2 4 3 2 5" xfId="4408"/>
    <cellStyle name="40% - Accent2 4 3 2 6" xfId="12734"/>
    <cellStyle name="40% - Accent2 4 3 3" xfId="1479"/>
    <cellStyle name="40% - Accent2 4 3 3 2" xfId="1480"/>
    <cellStyle name="40% - Accent2 4 3 3 2 2" xfId="7561"/>
    <cellStyle name="40% - Accent2 4 3 3 2 2 2" xfId="15843"/>
    <cellStyle name="40% - Accent2 4 3 3 2 3" xfId="10055"/>
    <cellStyle name="40% - Accent2 4 3 3 2 3 2" xfId="18333"/>
    <cellStyle name="40% - Accent2 4 3 3 2 4" xfId="4411"/>
    <cellStyle name="40% - Accent2 4 3 3 2 5" xfId="12737"/>
    <cellStyle name="40% - Accent2 4 3 3 3" xfId="7560"/>
    <cellStyle name="40% - Accent2 4 3 3 3 2" xfId="15842"/>
    <cellStyle name="40% - Accent2 4 3 3 4" xfId="10054"/>
    <cellStyle name="40% - Accent2 4 3 3 4 2" xfId="18332"/>
    <cellStyle name="40% - Accent2 4 3 3 5" xfId="4410"/>
    <cellStyle name="40% - Accent2 4 3 3 6" xfId="12736"/>
    <cellStyle name="40% - Accent2 4 3 4" xfId="1481"/>
    <cellStyle name="40% - Accent2 4 3 4 2" xfId="7562"/>
    <cellStyle name="40% - Accent2 4 3 4 2 2" xfId="15844"/>
    <cellStyle name="40% - Accent2 4 3 4 3" xfId="10056"/>
    <cellStyle name="40% - Accent2 4 3 4 3 2" xfId="18334"/>
    <cellStyle name="40% - Accent2 4 3 4 4" xfId="4412"/>
    <cellStyle name="40% - Accent2 4 3 4 5" xfId="12738"/>
    <cellStyle name="40% - Accent2 4 3 5" xfId="1482"/>
    <cellStyle name="40% - Accent2 4 3 5 2" xfId="7563"/>
    <cellStyle name="40% - Accent2 4 3 5 2 2" xfId="15845"/>
    <cellStyle name="40% - Accent2 4 3 5 3" xfId="10057"/>
    <cellStyle name="40% - Accent2 4 3 5 3 2" xfId="18335"/>
    <cellStyle name="40% - Accent2 4 3 5 4" xfId="4413"/>
    <cellStyle name="40% - Accent2 4 3 5 5" xfId="12739"/>
    <cellStyle name="40% - Accent2 4 3 6" xfId="5990"/>
    <cellStyle name="40% - Accent2 4 3 6 2" xfId="14272"/>
    <cellStyle name="40% - Accent2 4 3 7" xfId="7557"/>
    <cellStyle name="40% - Accent2 4 3 7 2" xfId="15839"/>
    <cellStyle name="40% - Accent2 4 3 8" xfId="10051"/>
    <cellStyle name="40% - Accent2 4 3 8 2" xfId="18329"/>
    <cellStyle name="40% - Accent2 4 3 9" xfId="4407"/>
    <cellStyle name="40% - Accent2 4 4" xfId="1483"/>
    <cellStyle name="40% - Accent2 4 4 2" xfId="1484"/>
    <cellStyle name="40% - Accent2 4 4 2 2" xfId="1485"/>
    <cellStyle name="40% - Accent2 4 4 2 2 2" xfId="7566"/>
    <cellStyle name="40% - Accent2 4 4 2 2 2 2" xfId="15848"/>
    <cellStyle name="40% - Accent2 4 4 2 2 3" xfId="10060"/>
    <cellStyle name="40% - Accent2 4 4 2 2 3 2" xfId="18338"/>
    <cellStyle name="40% - Accent2 4 4 2 2 4" xfId="4416"/>
    <cellStyle name="40% - Accent2 4 4 2 2 5" xfId="12742"/>
    <cellStyle name="40% - Accent2 4 4 2 3" xfId="7565"/>
    <cellStyle name="40% - Accent2 4 4 2 3 2" xfId="15847"/>
    <cellStyle name="40% - Accent2 4 4 2 4" xfId="10059"/>
    <cellStyle name="40% - Accent2 4 4 2 4 2" xfId="18337"/>
    <cellStyle name="40% - Accent2 4 4 2 5" xfId="4415"/>
    <cellStyle name="40% - Accent2 4 4 2 6" xfId="12741"/>
    <cellStyle name="40% - Accent2 4 4 3" xfId="1486"/>
    <cellStyle name="40% - Accent2 4 4 3 2" xfId="7567"/>
    <cellStyle name="40% - Accent2 4 4 3 2 2" xfId="15849"/>
    <cellStyle name="40% - Accent2 4 4 3 3" xfId="10061"/>
    <cellStyle name="40% - Accent2 4 4 3 3 2" xfId="18339"/>
    <cellStyle name="40% - Accent2 4 4 3 4" xfId="4417"/>
    <cellStyle name="40% - Accent2 4 4 3 5" xfId="12743"/>
    <cellStyle name="40% - Accent2 4 4 4" xfId="1487"/>
    <cellStyle name="40% - Accent2 4 4 4 2" xfId="7568"/>
    <cellStyle name="40% - Accent2 4 4 4 2 2" xfId="15850"/>
    <cellStyle name="40% - Accent2 4 4 4 3" xfId="10062"/>
    <cellStyle name="40% - Accent2 4 4 4 3 2" xfId="18340"/>
    <cellStyle name="40% - Accent2 4 4 4 4" xfId="4418"/>
    <cellStyle name="40% - Accent2 4 4 4 5" xfId="12744"/>
    <cellStyle name="40% - Accent2 4 4 5" xfId="5806"/>
    <cellStyle name="40% - Accent2 4 4 5 2" xfId="14088"/>
    <cellStyle name="40% - Accent2 4 4 6" xfId="7564"/>
    <cellStyle name="40% - Accent2 4 4 6 2" xfId="15846"/>
    <cellStyle name="40% - Accent2 4 4 7" xfId="10058"/>
    <cellStyle name="40% - Accent2 4 4 7 2" xfId="18336"/>
    <cellStyle name="40% - Accent2 4 4 8" xfId="4414"/>
    <cellStyle name="40% - Accent2 4 4 9" xfId="12740"/>
    <cellStyle name="40% - Accent2 4 5" xfId="1488"/>
    <cellStyle name="40% - Accent2 4 5 2" xfId="1489"/>
    <cellStyle name="40% - Accent2 4 5 2 2" xfId="7570"/>
    <cellStyle name="40% - Accent2 4 5 2 2 2" xfId="15852"/>
    <cellStyle name="40% - Accent2 4 5 2 3" xfId="10064"/>
    <cellStyle name="40% - Accent2 4 5 2 3 2" xfId="18342"/>
    <cellStyle name="40% - Accent2 4 5 2 4" xfId="4420"/>
    <cellStyle name="40% - Accent2 4 5 2 5" xfId="12746"/>
    <cellStyle name="40% - Accent2 4 5 3" xfId="7569"/>
    <cellStyle name="40% - Accent2 4 5 3 2" xfId="15851"/>
    <cellStyle name="40% - Accent2 4 5 4" xfId="10063"/>
    <cellStyle name="40% - Accent2 4 5 4 2" xfId="18341"/>
    <cellStyle name="40% - Accent2 4 5 5" xfId="4419"/>
    <cellStyle name="40% - Accent2 4 5 6" xfId="12745"/>
    <cellStyle name="40% - Accent2 4 6" xfId="1490"/>
    <cellStyle name="40% - Accent2 4 6 2" xfId="1491"/>
    <cellStyle name="40% - Accent2 4 6 2 2" xfId="7572"/>
    <cellStyle name="40% - Accent2 4 6 2 2 2" xfId="15854"/>
    <cellStyle name="40% - Accent2 4 6 2 3" xfId="10066"/>
    <cellStyle name="40% - Accent2 4 6 2 3 2" xfId="18344"/>
    <cellStyle name="40% - Accent2 4 6 2 4" xfId="4422"/>
    <cellStyle name="40% - Accent2 4 6 2 5" xfId="12748"/>
    <cellStyle name="40% - Accent2 4 6 3" xfId="7571"/>
    <cellStyle name="40% - Accent2 4 6 3 2" xfId="15853"/>
    <cellStyle name="40% - Accent2 4 6 4" xfId="10065"/>
    <cellStyle name="40% - Accent2 4 6 4 2" xfId="18343"/>
    <cellStyle name="40% - Accent2 4 6 5" xfId="4421"/>
    <cellStyle name="40% - Accent2 4 6 6" xfId="12747"/>
    <cellStyle name="40% - Accent2 4 7" xfId="1492"/>
    <cellStyle name="40% - Accent2 4 7 2" xfId="7573"/>
    <cellStyle name="40% - Accent2 4 7 2 2" xfId="15855"/>
    <cellStyle name="40% - Accent2 4 7 3" xfId="10067"/>
    <cellStyle name="40% - Accent2 4 7 3 2" xfId="18345"/>
    <cellStyle name="40% - Accent2 4 7 4" xfId="4423"/>
    <cellStyle name="40% - Accent2 4 7 5" xfId="12749"/>
    <cellStyle name="40% - Accent2 4 8" xfId="1493"/>
    <cellStyle name="40% - Accent2 4 8 2" xfId="7574"/>
    <cellStyle name="40% - Accent2 4 8 2 2" xfId="15856"/>
    <cellStyle name="40% - Accent2 4 8 3" xfId="10068"/>
    <cellStyle name="40% - Accent2 4 8 3 2" xfId="18346"/>
    <cellStyle name="40% - Accent2 4 8 4" xfId="4424"/>
    <cellStyle name="40% - Accent2 4 8 5" xfId="12750"/>
    <cellStyle name="40% - Accent2 4 9" xfId="5690"/>
    <cellStyle name="40% - Accent2 4 9 2" xfId="13976"/>
    <cellStyle name="40% - Accent2 5" xfId="1494"/>
    <cellStyle name="40% - Accent2 5 10" xfId="12751"/>
    <cellStyle name="40% - Accent2 5 2" xfId="1495"/>
    <cellStyle name="40% - Accent2 5 2 2" xfId="1496"/>
    <cellStyle name="40% - Accent2 5 2 2 2" xfId="7577"/>
    <cellStyle name="40% - Accent2 5 2 2 2 2" xfId="15859"/>
    <cellStyle name="40% - Accent2 5 2 2 3" xfId="10071"/>
    <cellStyle name="40% - Accent2 5 2 2 3 2" xfId="18349"/>
    <cellStyle name="40% - Accent2 5 2 2 4" xfId="4427"/>
    <cellStyle name="40% - Accent2 5 2 2 5" xfId="12753"/>
    <cellStyle name="40% - Accent2 5 2 3" xfId="7576"/>
    <cellStyle name="40% - Accent2 5 2 3 2" xfId="15858"/>
    <cellStyle name="40% - Accent2 5 2 4" xfId="10070"/>
    <cellStyle name="40% - Accent2 5 2 4 2" xfId="18348"/>
    <cellStyle name="40% - Accent2 5 2 5" xfId="4426"/>
    <cellStyle name="40% - Accent2 5 2 6" xfId="12752"/>
    <cellStyle name="40% - Accent2 5 3" xfId="1497"/>
    <cellStyle name="40% - Accent2 5 3 2" xfId="1498"/>
    <cellStyle name="40% - Accent2 5 3 2 2" xfId="7579"/>
    <cellStyle name="40% - Accent2 5 3 2 2 2" xfId="15861"/>
    <cellStyle name="40% - Accent2 5 3 2 3" xfId="10073"/>
    <cellStyle name="40% - Accent2 5 3 2 3 2" xfId="18351"/>
    <cellStyle name="40% - Accent2 5 3 2 4" xfId="4429"/>
    <cellStyle name="40% - Accent2 5 3 2 5" xfId="12755"/>
    <cellStyle name="40% - Accent2 5 3 3" xfId="7578"/>
    <cellStyle name="40% - Accent2 5 3 3 2" xfId="15860"/>
    <cellStyle name="40% - Accent2 5 3 4" xfId="10072"/>
    <cellStyle name="40% - Accent2 5 3 4 2" xfId="18350"/>
    <cellStyle name="40% - Accent2 5 3 5" xfId="4428"/>
    <cellStyle name="40% - Accent2 5 3 6" xfId="12754"/>
    <cellStyle name="40% - Accent2 5 4" xfId="1499"/>
    <cellStyle name="40% - Accent2 5 4 2" xfId="7580"/>
    <cellStyle name="40% - Accent2 5 4 2 2" xfId="15862"/>
    <cellStyle name="40% - Accent2 5 4 3" xfId="10074"/>
    <cellStyle name="40% - Accent2 5 4 3 2" xfId="18352"/>
    <cellStyle name="40% - Accent2 5 4 4" xfId="4430"/>
    <cellStyle name="40% - Accent2 5 4 5" xfId="12756"/>
    <cellStyle name="40% - Accent2 5 5" xfId="1500"/>
    <cellStyle name="40% - Accent2 5 5 2" xfId="7581"/>
    <cellStyle name="40% - Accent2 5 5 2 2" xfId="15863"/>
    <cellStyle name="40% - Accent2 5 5 3" xfId="10075"/>
    <cellStyle name="40% - Accent2 5 5 3 2" xfId="18353"/>
    <cellStyle name="40% - Accent2 5 5 4" xfId="4431"/>
    <cellStyle name="40% - Accent2 5 5 5" xfId="12757"/>
    <cellStyle name="40% - Accent2 5 6" xfId="5743"/>
    <cellStyle name="40% - Accent2 5 6 2" xfId="14028"/>
    <cellStyle name="40% - Accent2 5 7" xfId="7575"/>
    <cellStyle name="40% - Accent2 5 7 2" xfId="15857"/>
    <cellStyle name="40% - Accent2 5 8" xfId="10069"/>
    <cellStyle name="40% - Accent2 5 8 2" xfId="18347"/>
    <cellStyle name="40% - Accent2 5 9" xfId="4425"/>
    <cellStyle name="40% - Accent2 6" xfId="1501"/>
    <cellStyle name="40% - Accent2 6 10" xfId="12758"/>
    <cellStyle name="40% - Accent2 6 2" xfId="1502"/>
    <cellStyle name="40% - Accent2 6 2 2" xfId="1503"/>
    <cellStyle name="40% - Accent2 6 2 2 2" xfId="7584"/>
    <cellStyle name="40% - Accent2 6 2 2 2 2" xfId="15866"/>
    <cellStyle name="40% - Accent2 6 2 2 3" xfId="10078"/>
    <cellStyle name="40% - Accent2 6 2 2 3 2" xfId="18356"/>
    <cellStyle name="40% - Accent2 6 2 2 4" xfId="4434"/>
    <cellStyle name="40% - Accent2 6 2 2 5" xfId="12760"/>
    <cellStyle name="40% - Accent2 6 2 3" xfId="7583"/>
    <cellStyle name="40% - Accent2 6 2 3 2" xfId="15865"/>
    <cellStyle name="40% - Accent2 6 2 4" xfId="10077"/>
    <cellStyle name="40% - Accent2 6 2 4 2" xfId="18355"/>
    <cellStyle name="40% - Accent2 6 2 5" xfId="4433"/>
    <cellStyle name="40% - Accent2 6 2 6" xfId="12759"/>
    <cellStyle name="40% - Accent2 6 3" xfId="1504"/>
    <cellStyle name="40% - Accent2 6 3 2" xfId="1505"/>
    <cellStyle name="40% - Accent2 6 3 2 2" xfId="7586"/>
    <cellStyle name="40% - Accent2 6 3 2 2 2" xfId="15868"/>
    <cellStyle name="40% - Accent2 6 3 2 3" xfId="10080"/>
    <cellStyle name="40% - Accent2 6 3 2 3 2" xfId="18358"/>
    <cellStyle name="40% - Accent2 6 3 2 4" xfId="4436"/>
    <cellStyle name="40% - Accent2 6 3 2 5" xfId="12762"/>
    <cellStyle name="40% - Accent2 6 3 3" xfId="7585"/>
    <cellStyle name="40% - Accent2 6 3 3 2" xfId="15867"/>
    <cellStyle name="40% - Accent2 6 3 4" xfId="10079"/>
    <cellStyle name="40% - Accent2 6 3 4 2" xfId="18357"/>
    <cellStyle name="40% - Accent2 6 3 5" xfId="4435"/>
    <cellStyle name="40% - Accent2 6 3 6" xfId="12761"/>
    <cellStyle name="40% - Accent2 6 4" xfId="1506"/>
    <cellStyle name="40% - Accent2 6 4 2" xfId="7587"/>
    <cellStyle name="40% - Accent2 6 4 2 2" xfId="15869"/>
    <cellStyle name="40% - Accent2 6 4 3" xfId="10081"/>
    <cellStyle name="40% - Accent2 6 4 3 2" xfId="18359"/>
    <cellStyle name="40% - Accent2 6 4 4" xfId="4437"/>
    <cellStyle name="40% - Accent2 6 4 5" xfId="12763"/>
    <cellStyle name="40% - Accent2 6 5" xfId="1507"/>
    <cellStyle name="40% - Accent2 6 5 2" xfId="7588"/>
    <cellStyle name="40% - Accent2 6 5 2 2" xfId="15870"/>
    <cellStyle name="40% - Accent2 6 5 3" xfId="10082"/>
    <cellStyle name="40% - Accent2 6 5 3 2" xfId="18360"/>
    <cellStyle name="40% - Accent2 6 5 4" xfId="4438"/>
    <cellStyle name="40% - Accent2 6 5 5" xfId="12764"/>
    <cellStyle name="40% - Accent2 6 6" xfId="5832"/>
    <cellStyle name="40% - Accent2 6 6 2" xfId="14114"/>
    <cellStyle name="40% - Accent2 6 7" xfId="7582"/>
    <cellStyle name="40% - Accent2 6 7 2" xfId="15864"/>
    <cellStyle name="40% - Accent2 6 8" xfId="10076"/>
    <cellStyle name="40% - Accent2 6 8 2" xfId="18354"/>
    <cellStyle name="40% - Accent2 6 9" xfId="4432"/>
    <cellStyle name="40% - Accent2 7" xfId="1508"/>
    <cellStyle name="40% - Accent2 7 10" xfId="12765"/>
    <cellStyle name="40% - Accent2 7 2" xfId="1509"/>
    <cellStyle name="40% - Accent2 7 2 2" xfId="1510"/>
    <cellStyle name="40% - Accent2 7 2 2 2" xfId="7591"/>
    <cellStyle name="40% - Accent2 7 2 2 2 2" xfId="15873"/>
    <cellStyle name="40% - Accent2 7 2 2 3" xfId="10085"/>
    <cellStyle name="40% - Accent2 7 2 2 3 2" xfId="18363"/>
    <cellStyle name="40% - Accent2 7 2 2 4" xfId="4441"/>
    <cellStyle name="40% - Accent2 7 2 2 5" xfId="12767"/>
    <cellStyle name="40% - Accent2 7 2 3" xfId="7590"/>
    <cellStyle name="40% - Accent2 7 2 3 2" xfId="15872"/>
    <cellStyle name="40% - Accent2 7 2 4" xfId="10084"/>
    <cellStyle name="40% - Accent2 7 2 4 2" xfId="18362"/>
    <cellStyle name="40% - Accent2 7 2 5" xfId="4440"/>
    <cellStyle name="40% - Accent2 7 2 6" xfId="12766"/>
    <cellStyle name="40% - Accent2 7 3" xfId="1511"/>
    <cellStyle name="40% - Accent2 7 3 2" xfId="1512"/>
    <cellStyle name="40% - Accent2 7 3 2 2" xfId="7593"/>
    <cellStyle name="40% - Accent2 7 3 2 2 2" xfId="15875"/>
    <cellStyle name="40% - Accent2 7 3 2 3" xfId="10087"/>
    <cellStyle name="40% - Accent2 7 3 2 3 2" xfId="18365"/>
    <cellStyle name="40% - Accent2 7 3 2 4" xfId="4443"/>
    <cellStyle name="40% - Accent2 7 3 2 5" xfId="12769"/>
    <cellStyle name="40% - Accent2 7 3 3" xfId="7592"/>
    <cellStyle name="40% - Accent2 7 3 3 2" xfId="15874"/>
    <cellStyle name="40% - Accent2 7 3 4" xfId="10086"/>
    <cellStyle name="40% - Accent2 7 3 4 2" xfId="18364"/>
    <cellStyle name="40% - Accent2 7 3 5" xfId="4442"/>
    <cellStyle name="40% - Accent2 7 3 6" xfId="12768"/>
    <cellStyle name="40% - Accent2 7 4" xfId="1513"/>
    <cellStyle name="40% - Accent2 7 4 2" xfId="7594"/>
    <cellStyle name="40% - Accent2 7 4 2 2" xfId="15876"/>
    <cellStyle name="40% - Accent2 7 4 3" xfId="10088"/>
    <cellStyle name="40% - Accent2 7 4 3 2" xfId="18366"/>
    <cellStyle name="40% - Accent2 7 4 4" xfId="4444"/>
    <cellStyle name="40% - Accent2 7 4 5" xfId="12770"/>
    <cellStyle name="40% - Accent2 7 5" xfId="1514"/>
    <cellStyle name="40% - Accent2 7 5 2" xfId="7595"/>
    <cellStyle name="40% - Accent2 7 5 2 2" xfId="15877"/>
    <cellStyle name="40% - Accent2 7 5 3" xfId="10089"/>
    <cellStyle name="40% - Accent2 7 5 3 2" xfId="18367"/>
    <cellStyle name="40% - Accent2 7 5 4" xfId="4445"/>
    <cellStyle name="40% - Accent2 7 5 5" xfId="12771"/>
    <cellStyle name="40% - Accent2 7 6" xfId="5918"/>
    <cellStyle name="40% - Accent2 7 6 2" xfId="14200"/>
    <cellStyle name="40% - Accent2 7 7" xfId="7589"/>
    <cellStyle name="40% - Accent2 7 7 2" xfId="15871"/>
    <cellStyle name="40% - Accent2 7 8" xfId="10083"/>
    <cellStyle name="40% - Accent2 7 8 2" xfId="18361"/>
    <cellStyle name="40% - Accent2 7 9" xfId="4439"/>
    <cellStyle name="40% - Accent2 8" xfId="1515"/>
    <cellStyle name="40% - Accent2 8 10" xfId="12772"/>
    <cellStyle name="40% - Accent2 8 2" xfId="1516"/>
    <cellStyle name="40% - Accent2 8 2 2" xfId="1517"/>
    <cellStyle name="40% - Accent2 8 2 2 2" xfId="7598"/>
    <cellStyle name="40% - Accent2 8 2 2 2 2" xfId="15880"/>
    <cellStyle name="40% - Accent2 8 2 2 3" xfId="10092"/>
    <cellStyle name="40% - Accent2 8 2 2 3 2" xfId="18370"/>
    <cellStyle name="40% - Accent2 8 2 2 4" xfId="4448"/>
    <cellStyle name="40% - Accent2 8 2 2 5" xfId="12774"/>
    <cellStyle name="40% - Accent2 8 2 3" xfId="7597"/>
    <cellStyle name="40% - Accent2 8 2 3 2" xfId="15879"/>
    <cellStyle name="40% - Accent2 8 2 4" xfId="10091"/>
    <cellStyle name="40% - Accent2 8 2 4 2" xfId="18369"/>
    <cellStyle name="40% - Accent2 8 2 5" xfId="4447"/>
    <cellStyle name="40% - Accent2 8 2 6" xfId="12773"/>
    <cellStyle name="40% - Accent2 8 3" xfId="1518"/>
    <cellStyle name="40% - Accent2 8 3 2" xfId="1519"/>
    <cellStyle name="40% - Accent2 8 3 2 2" xfId="7600"/>
    <cellStyle name="40% - Accent2 8 3 2 2 2" xfId="15882"/>
    <cellStyle name="40% - Accent2 8 3 2 3" xfId="10094"/>
    <cellStyle name="40% - Accent2 8 3 2 3 2" xfId="18372"/>
    <cellStyle name="40% - Accent2 8 3 2 4" xfId="4450"/>
    <cellStyle name="40% - Accent2 8 3 2 5" xfId="12776"/>
    <cellStyle name="40% - Accent2 8 3 3" xfId="7599"/>
    <cellStyle name="40% - Accent2 8 3 3 2" xfId="15881"/>
    <cellStyle name="40% - Accent2 8 3 4" xfId="10093"/>
    <cellStyle name="40% - Accent2 8 3 4 2" xfId="18371"/>
    <cellStyle name="40% - Accent2 8 3 5" xfId="4449"/>
    <cellStyle name="40% - Accent2 8 3 6" xfId="12775"/>
    <cellStyle name="40% - Accent2 8 4" xfId="1520"/>
    <cellStyle name="40% - Accent2 8 4 2" xfId="7601"/>
    <cellStyle name="40% - Accent2 8 4 2 2" xfId="15883"/>
    <cellStyle name="40% - Accent2 8 4 3" xfId="10095"/>
    <cellStyle name="40% - Accent2 8 4 3 2" xfId="18373"/>
    <cellStyle name="40% - Accent2 8 4 4" xfId="4451"/>
    <cellStyle name="40% - Accent2 8 4 5" xfId="12777"/>
    <cellStyle name="40% - Accent2 8 5" xfId="1521"/>
    <cellStyle name="40% - Accent2 8 5 2" xfId="7602"/>
    <cellStyle name="40% - Accent2 8 5 2 2" xfId="15884"/>
    <cellStyle name="40% - Accent2 8 5 3" xfId="10096"/>
    <cellStyle name="40% - Accent2 8 5 3 2" xfId="18374"/>
    <cellStyle name="40% - Accent2 8 5 4" xfId="4452"/>
    <cellStyle name="40% - Accent2 8 5 5" xfId="12778"/>
    <cellStyle name="40% - Accent2 8 6" xfId="5930"/>
    <cellStyle name="40% - Accent2 8 6 2" xfId="14212"/>
    <cellStyle name="40% - Accent2 8 7" xfId="7596"/>
    <cellStyle name="40% - Accent2 8 7 2" xfId="15878"/>
    <cellStyle name="40% - Accent2 8 8" xfId="10090"/>
    <cellStyle name="40% - Accent2 8 8 2" xfId="18368"/>
    <cellStyle name="40% - Accent2 8 9" xfId="4446"/>
    <cellStyle name="40% - Accent2 9" xfId="1522"/>
    <cellStyle name="40% - Accent2 9 10" xfId="12779"/>
    <cellStyle name="40% - Accent2 9 2" xfId="1523"/>
    <cellStyle name="40% - Accent2 9 2 2" xfId="1524"/>
    <cellStyle name="40% - Accent2 9 2 2 2" xfId="7605"/>
    <cellStyle name="40% - Accent2 9 2 2 2 2" xfId="15887"/>
    <cellStyle name="40% - Accent2 9 2 2 3" xfId="10099"/>
    <cellStyle name="40% - Accent2 9 2 2 3 2" xfId="18377"/>
    <cellStyle name="40% - Accent2 9 2 2 4" xfId="4455"/>
    <cellStyle name="40% - Accent2 9 2 2 5" xfId="12781"/>
    <cellStyle name="40% - Accent2 9 2 3" xfId="7604"/>
    <cellStyle name="40% - Accent2 9 2 3 2" xfId="15886"/>
    <cellStyle name="40% - Accent2 9 2 4" xfId="10098"/>
    <cellStyle name="40% - Accent2 9 2 4 2" xfId="18376"/>
    <cellStyle name="40% - Accent2 9 2 5" xfId="4454"/>
    <cellStyle name="40% - Accent2 9 2 6" xfId="12780"/>
    <cellStyle name="40% - Accent2 9 3" xfId="1525"/>
    <cellStyle name="40% - Accent2 9 3 2" xfId="1526"/>
    <cellStyle name="40% - Accent2 9 3 2 2" xfId="7607"/>
    <cellStyle name="40% - Accent2 9 3 2 2 2" xfId="15889"/>
    <cellStyle name="40% - Accent2 9 3 2 3" xfId="10101"/>
    <cellStyle name="40% - Accent2 9 3 2 3 2" xfId="18379"/>
    <cellStyle name="40% - Accent2 9 3 2 4" xfId="4457"/>
    <cellStyle name="40% - Accent2 9 3 2 5" xfId="12783"/>
    <cellStyle name="40% - Accent2 9 3 3" xfId="7606"/>
    <cellStyle name="40% - Accent2 9 3 3 2" xfId="15888"/>
    <cellStyle name="40% - Accent2 9 3 4" xfId="10100"/>
    <cellStyle name="40% - Accent2 9 3 4 2" xfId="18378"/>
    <cellStyle name="40% - Accent2 9 3 5" xfId="4456"/>
    <cellStyle name="40% - Accent2 9 3 6" xfId="12782"/>
    <cellStyle name="40% - Accent2 9 4" xfId="1527"/>
    <cellStyle name="40% - Accent2 9 4 2" xfId="7608"/>
    <cellStyle name="40% - Accent2 9 4 2 2" xfId="15890"/>
    <cellStyle name="40% - Accent2 9 4 3" xfId="10102"/>
    <cellStyle name="40% - Accent2 9 4 3 2" xfId="18380"/>
    <cellStyle name="40% - Accent2 9 4 4" xfId="4458"/>
    <cellStyle name="40% - Accent2 9 4 5" xfId="12784"/>
    <cellStyle name="40% - Accent2 9 5" xfId="1528"/>
    <cellStyle name="40% - Accent2 9 5 2" xfId="7609"/>
    <cellStyle name="40% - Accent2 9 5 2 2" xfId="15891"/>
    <cellStyle name="40% - Accent2 9 5 3" xfId="10103"/>
    <cellStyle name="40% - Accent2 9 5 3 2" xfId="18381"/>
    <cellStyle name="40% - Accent2 9 5 4" xfId="4459"/>
    <cellStyle name="40% - Accent2 9 5 5" xfId="12785"/>
    <cellStyle name="40% - Accent2 9 6" xfId="6016"/>
    <cellStyle name="40% - Accent2 9 6 2" xfId="14298"/>
    <cellStyle name="40% - Accent2 9 7" xfId="7603"/>
    <cellStyle name="40% - Accent2 9 7 2" xfId="15885"/>
    <cellStyle name="40% - Accent2 9 8" xfId="10097"/>
    <cellStyle name="40% - Accent2 9 8 2" xfId="18375"/>
    <cellStyle name="40% - Accent2 9 9" xfId="4453"/>
    <cellStyle name="40% - Accent3" xfId="1529" builtinId="39" customBuiltin="1"/>
    <cellStyle name="40% - Accent3 10" xfId="1530"/>
    <cellStyle name="40% - Accent3 10 10" xfId="4461"/>
    <cellStyle name="40% - Accent3 10 11" xfId="12787"/>
    <cellStyle name="40% - Accent3 10 2" xfId="1531"/>
    <cellStyle name="40% - Accent3 10 2 2" xfId="1532"/>
    <cellStyle name="40% - Accent3 10 2 2 2" xfId="7613"/>
    <cellStyle name="40% - Accent3 10 2 2 2 2" xfId="15895"/>
    <cellStyle name="40% - Accent3 10 2 2 3" xfId="10107"/>
    <cellStyle name="40% - Accent3 10 2 2 3 2" xfId="18385"/>
    <cellStyle name="40% - Accent3 10 2 2 4" xfId="4463"/>
    <cellStyle name="40% - Accent3 10 2 2 5" xfId="12789"/>
    <cellStyle name="40% - Accent3 10 2 3" xfId="7612"/>
    <cellStyle name="40% - Accent3 10 2 3 2" xfId="15894"/>
    <cellStyle name="40% - Accent3 10 2 4" xfId="10106"/>
    <cellStyle name="40% - Accent3 10 2 4 2" xfId="18384"/>
    <cellStyle name="40% - Accent3 10 2 5" xfId="4462"/>
    <cellStyle name="40% - Accent3 10 2 6" xfId="12788"/>
    <cellStyle name="40% - Accent3 10 3" xfId="1533"/>
    <cellStyle name="40% - Accent3 10 3 2" xfId="1534"/>
    <cellStyle name="40% - Accent3 10 3 2 2" xfId="7615"/>
    <cellStyle name="40% - Accent3 10 3 2 2 2" xfId="15897"/>
    <cellStyle name="40% - Accent3 10 3 2 3" xfId="10109"/>
    <cellStyle name="40% - Accent3 10 3 2 3 2" xfId="18387"/>
    <cellStyle name="40% - Accent3 10 3 2 4" xfId="4465"/>
    <cellStyle name="40% - Accent3 10 3 2 5" xfId="12791"/>
    <cellStyle name="40% - Accent3 10 3 3" xfId="7614"/>
    <cellStyle name="40% - Accent3 10 3 3 2" xfId="15896"/>
    <cellStyle name="40% - Accent3 10 3 4" xfId="10108"/>
    <cellStyle name="40% - Accent3 10 3 4 2" xfId="18386"/>
    <cellStyle name="40% - Accent3 10 3 5" xfId="4464"/>
    <cellStyle name="40% - Accent3 10 3 6" xfId="12790"/>
    <cellStyle name="40% - Accent3 10 4" xfId="1535"/>
    <cellStyle name="40% - Accent3 10 4 2" xfId="7616"/>
    <cellStyle name="40% - Accent3 10 4 2 2" xfId="15898"/>
    <cellStyle name="40% - Accent3 10 4 3" xfId="10110"/>
    <cellStyle name="40% - Accent3 10 4 3 2" xfId="18388"/>
    <cellStyle name="40% - Accent3 10 4 4" xfId="4466"/>
    <cellStyle name="40% - Accent3 10 4 5" xfId="12792"/>
    <cellStyle name="40% - Accent3 10 5" xfId="1536"/>
    <cellStyle name="40% - Accent3 10 5 2" xfId="7617"/>
    <cellStyle name="40% - Accent3 10 5 2 2" xfId="15899"/>
    <cellStyle name="40% - Accent3 10 5 3" xfId="10111"/>
    <cellStyle name="40% - Accent3 10 5 3 2" xfId="18389"/>
    <cellStyle name="40% - Accent3 10 5 4" xfId="4467"/>
    <cellStyle name="40% - Accent3 10 5 5" xfId="12793"/>
    <cellStyle name="40% - Accent3 10 6" xfId="4468"/>
    <cellStyle name="40% - Accent3 10 6 2" xfId="12794"/>
    <cellStyle name="40% - Accent3 10 7" xfId="6032"/>
    <cellStyle name="40% - Accent3 10 7 2" xfId="14314"/>
    <cellStyle name="40% - Accent3 10 8" xfId="7611"/>
    <cellStyle name="40% - Accent3 10 8 2" xfId="15893"/>
    <cellStyle name="40% - Accent3 10 9" xfId="10105"/>
    <cellStyle name="40% - Accent3 10 9 2" xfId="18383"/>
    <cellStyle name="40% - Accent3 11" xfId="1537"/>
    <cellStyle name="40% - Accent3 11 10" xfId="12795"/>
    <cellStyle name="40% - Accent3 11 2" xfId="1538"/>
    <cellStyle name="40% - Accent3 11 2 2" xfId="1539"/>
    <cellStyle name="40% - Accent3 11 2 2 2" xfId="7620"/>
    <cellStyle name="40% - Accent3 11 2 2 2 2" xfId="15902"/>
    <cellStyle name="40% - Accent3 11 2 2 3" xfId="10114"/>
    <cellStyle name="40% - Accent3 11 2 2 3 2" xfId="18392"/>
    <cellStyle name="40% - Accent3 11 2 2 4" xfId="4471"/>
    <cellStyle name="40% - Accent3 11 2 2 5" xfId="12797"/>
    <cellStyle name="40% - Accent3 11 2 3" xfId="7619"/>
    <cellStyle name="40% - Accent3 11 2 3 2" xfId="15901"/>
    <cellStyle name="40% - Accent3 11 2 4" xfId="10113"/>
    <cellStyle name="40% - Accent3 11 2 4 2" xfId="18391"/>
    <cellStyle name="40% - Accent3 11 2 5" xfId="4470"/>
    <cellStyle name="40% - Accent3 11 2 6" xfId="12796"/>
    <cellStyle name="40% - Accent3 11 3" xfId="1540"/>
    <cellStyle name="40% - Accent3 11 3 2" xfId="7621"/>
    <cellStyle name="40% - Accent3 11 3 2 2" xfId="15903"/>
    <cellStyle name="40% - Accent3 11 3 3" xfId="10115"/>
    <cellStyle name="40% - Accent3 11 3 3 2" xfId="18393"/>
    <cellStyle name="40% - Accent3 11 3 4" xfId="4472"/>
    <cellStyle name="40% - Accent3 11 3 5" xfId="12798"/>
    <cellStyle name="40% - Accent3 11 4" xfId="1541"/>
    <cellStyle name="40% - Accent3 11 4 2" xfId="7622"/>
    <cellStyle name="40% - Accent3 11 4 2 2" xfId="15904"/>
    <cellStyle name="40% - Accent3 11 4 3" xfId="10116"/>
    <cellStyle name="40% - Accent3 11 4 3 2" xfId="18394"/>
    <cellStyle name="40% - Accent3 11 4 4" xfId="4473"/>
    <cellStyle name="40% - Accent3 11 4 5" xfId="12799"/>
    <cellStyle name="40% - Accent3 11 5" xfId="4474"/>
    <cellStyle name="40% - Accent3 11 5 2" xfId="12800"/>
    <cellStyle name="40% - Accent3 11 6" xfId="5719"/>
    <cellStyle name="40% - Accent3 11 6 2" xfId="14005"/>
    <cellStyle name="40% - Accent3 11 7" xfId="7618"/>
    <cellStyle name="40% - Accent3 11 7 2" xfId="15900"/>
    <cellStyle name="40% - Accent3 11 8" xfId="10112"/>
    <cellStyle name="40% - Accent3 11 8 2" xfId="18390"/>
    <cellStyle name="40% - Accent3 11 9" xfId="4469"/>
    <cellStyle name="40% - Accent3 12" xfId="1542"/>
    <cellStyle name="40% - Accent3 12 2" xfId="1543"/>
    <cellStyle name="40% - Accent3 12 2 2" xfId="7624"/>
    <cellStyle name="40% - Accent3 12 2 2 2" xfId="15906"/>
    <cellStyle name="40% - Accent3 12 2 3" xfId="10118"/>
    <cellStyle name="40% - Accent3 12 2 3 2" xfId="18396"/>
    <cellStyle name="40% - Accent3 12 2 4" xfId="4476"/>
    <cellStyle name="40% - Accent3 12 2 5" xfId="12802"/>
    <cellStyle name="40% - Accent3 12 3" xfId="4477"/>
    <cellStyle name="40% - Accent3 12 3 2" xfId="12803"/>
    <cellStyle name="40% - Accent3 12 4" xfId="6047"/>
    <cellStyle name="40% - Accent3 12 4 2" xfId="14329"/>
    <cellStyle name="40% - Accent3 12 5" xfId="7623"/>
    <cellStyle name="40% - Accent3 12 5 2" xfId="15905"/>
    <cellStyle name="40% - Accent3 12 6" xfId="10117"/>
    <cellStyle name="40% - Accent3 12 6 2" xfId="18395"/>
    <cellStyle name="40% - Accent3 12 7" xfId="4475"/>
    <cellStyle name="40% - Accent3 12 8" xfId="12801"/>
    <cellStyle name="40% - Accent3 13" xfId="1544"/>
    <cellStyle name="40% - Accent3 13 2" xfId="1545"/>
    <cellStyle name="40% - Accent3 13 2 2" xfId="7626"/>
    <cellStyle name="40% - Accent3 13 2 2 2" xfId="15908"/>
    <cellStyle name="40% - Accent3 13 2 3" xfId="10120"/>
    <cellStyle name="40% - Accent3 13 2 3 2" xfId="18398"/>
    <cellStyle name="40% - Accent3 13 2 4" xfId="4479"/>
    <cellStyle name="40% - Accent3 13 2 5" xfId="12805"/>
    <cellStyle name="40% - Accent3 13 3" xfId="4480"/>
    <cellStyle name="40% - Accent3 13 3 2" xfId="12806"/>
    <cellStyle name="40% - Accent3 13 4" xfId="6061"/>
    <cellStyle name="40% - Accent3 13 4 2" xfId="14343"/>
    <cellStyle name="40% - Accent3 13 5" xfId="7625"/>
    <cellStyle name="40% - Accent3 13 5 2" xfId="15907"/>
    <cellStyle name="40% - Accent3 13 6" xfId="10119"/>
    <cellStyle name="40% - Accent3 13 6 2" xfId="18397"/>
    <cellStyle name="40% - Accent3 13 7" xfId="4478"/>
    <cellStyle name="40% - Accent3 13 8" xfId="12804"/>
    <cellStyle name="40% - Accent3 14" xfId="1546"/>
    <cellStyle name="40% - Accent3 14 2" xfId="4482"/>
    <cellStyle name="40% - Accent3 14 2 2" xfId="12808"/>
    <cellStyle name="40% - Accent3 14 3" xfId="6075"/>
    <cellStyle name="40% - Accent3 14 3 2" xfId="14357"/>
    <cellStyle name="40% - Accent3 14 4" xfId="7627"/>
    <cellStyle name="40% - Accent3 14 4 2" xfId="15909"/>
    <cellStyle name="40% - Accent3 14 5" xfId="10121"/>
    <cellStyle name="40% - Accent3 14 5 2" xfId="18399"/>
    <cellStyle name="40% - Accent3 14 6" xfId="4481"/>
    <cellStyle name="40% - Accent3 14 7" xfId="12807"/>
    <cellStyle name="40% - Accent3 15" xfId="1547"/>
    <cellStyle name="40% - Accent3 15 2" xfId="7628"/>
    <cellStyle name="40% - Accent3 15 2 2" xfId="15910"/>
    <cellStyle name="40% - Accent3 15 3" xfId="10122"/>
    <cellStyle name="40% - Accent3 15 3 2" xfId="18400"/>
    <cellStyle name="40% - Accent3 15 4" xfId="4483"/>
    <cellStyle name="40% - Accent3 15 5" xfId="12809"/>
    <cellStyle name="40% - Accent3 16" xfId="4484"/>
    <cellStyle name="40% - Accent3 16 2" xfId="12810"/>
    <cellStyle name="40% - Accent3 17" xfId="5628"/>
    <cellStyle name="40% - Accent3 17 2" xfId="13918"/>
    <cellStyle name="40% - Accent3 18" xfId="7610"/>
    <cellStyle name="40% - Accent3 18 2" xfId="15892"/>
    <cellStyle name="40% - Accent3 19" xfId="10104"/>
    <cellStyle name="40% - Accent3 19 2" xfId="18382"/>
    <cellStyle name="40% - Accent3 2" xfId="1548"/>
    <cellStyle name="40% - Accent3 2 10" xfId="1549"/>
    <cellStyle name="40% - Accent3 2 10 2" xfId="7630"/>
    <cellStyle name="40% - Accent3 2 10 2 2" xfId="15912"/>
    <cellStyle name="40% - Accent3 2 10 3" xfId="10124"/>
    <cellStyle name="40% - Accent3 2 10 3 2" xfId="18402"/>
    <cellStyle name="40% - Accent3 2 10 4" xfId="4486"/>
    <cellStyle name="40% - Accent3 2 10 5" xfId="12812"/>
    <cellStyle name="40% - Accent3 2 11" xfId="1550"/>
    <cellStyle name="40% - Accent3 2 11 2" xfId="7631"/>
    <cellStyle name="40% - Accent3 2 11 2 2" xfId="15913"/>
    <cellStyle name="40% - Accent3 2 11 3" xfId="10125"/>
    <cellStyle name="40% - Accent3 2 11 3 2" xfId="18403"/>
    <cellStyle name="40% - Accent3 2 11 4" xfId="4487"/>
    <cellStyle name="40% - Accent3 2 11 5" xfId="12813"/>
    <cellStyle name="40% - Accent3 2 12" xfId="4488"/>
    <cellStyle name="40% - Accent3 2 12 2" xfId="12814"/>
    <cellStyle name="40% - Accent3 2 13" xfId="5646"/>
    <cellStyle name="40% - Accent3 2 13 2" xfId="13935"/>
    <cellStyle name="40% - Accent3 2 14" xfId="7629"/>
    <cellStyle name="40% - Accent3 2 14 2" xfId="15911"/>
    <cellStyle name="40% - Accent3 2 15" xfId="10123"/>
    <cellStyle name="40% - Accent3 2 15 2" xfId="18401"/>
    <cellStyle name="40% - Accent3 2 16" xfId="4485"/>
    <cellStyle name="40% - Accent3 2 17" xfId="12811"/>
    <cellStyle name="40% - Accent3 2 2" xfId="1551"/>
    <cellStyle name="40% - Accent3 2 2 10" xfId="5676"/>
    <cellStyle name="40% - Accent3 2 2 10 2" xfId="13962"/>
    <cellStyle name="40% - Accent3 2 2 11" xfId="7632"/>
    <cellStyle name="40% - Accent3 2 2 11 2" xfId="15914"/>
    <cellStyle name="40% - Accent3 2 2 12" xfId="10126"/>
    <cellStyle name="40% - Accent3 2 2 12 2" xfId="18404"/>
    <cellStyle name="40% - Accent3 2 2 13" xfId="4489"/>
    <cellStyle name="40% - Accent3 2 2 14" xfId="12815"/>
    <cellStyle name="40% - Accent3 2 2 2" xfId="1552"/>
    <cellStyle name="40% - Accent3 2 2 2 10" xfId="4490"/>
    <cellStyle name="40% - Accent3 2 2 2 11" xfId="12816"/>
    <cellStyle name="40% - Accent3 2 2 2 2" xfId="1553"/>
    <cellStyle name="40% - Accent3 2 2 2 2 2" xfId="1554"/>
    <cellStyle name="40% - Accent3 2 2 2 2 2 2" xfId="7635"/>
    <cellStyle name="40% - Accent3 2 2 2 2 2 2 2" xfId="15917"/>
    <cellStyle name="40% - Accent3 2 2 2 2 2 3" xfId="10129"/>
    <cellStyle name="40% - Accent3 2 2 2 2 2 3 2" xfId="18407"/>
    <cellStyle name="40% - Accent3 2 2 2 2 2 4" xfId="4492"/>
    <cellStyle name="40% - Accent3 2 2 2 2 2 5" xfId="12818"/>
    <cellStyle name="40% - Accent3 2 2 2 2 3" xfId="7634"/>
    <cellStyle name="40% - Accent3 2 2 2 2 3 2" xfId="15916"/>
    <cellStyle name="40% - Accent3 2 2 2 2 4" xfId="10128"/>
    <cellStyle name="40% - Accent3 2 2 2 2 4 2" xfId="18406"/>
    <cellStyle name="40% - Accent3 2 2 2 2 5" xfId="4491"/>
    <cellStyle name="40% - Accent3 2 2 2 2 6" xfId="12817"/>
    <cellStyle name="40% - Accent3 2 2 2 3" xfId="1555"/>
    <cellStyle name="40% - Accent3 2 2 2 3 2" xfId="1556"/>
    <cellStyle name="40% - Accent3 2 2 2 3 2 2" xfId="7637"/>
    <cellStyle name="40% - Accent3 2 2 2 3 2 2 2" xfId="15919"/>
    <cellStyle name="40% - Accent3 2 2 2 3 2 3" xfId="10131"/>
    <cellStyle name="40% - Accent3 2 2 2 3 2 3 2" xfId="18409"/>
    <cellStyle name="40% - Accent3 2 2 2 3 2 4" xfId="4494"/>
    <cellStyle name="40% - Accent3 2 2 2 3 2 5" xfId="12820"/>
    <cellStyle name="40% - Accent3 2 2 2 3 3" xfId="7636"/>
    <cellStyle name="40% - Accent3 2 2 2 3 3 2" xfId="15918"/>
    <cellStyle name="40% - Accent3 2 2 2 3 4" xfId="10130"/>
    <cellStyle name="40% - Accent3 2 2 2 3 4 2" xfId="18408"/>
    <cellStyle name="40% - Accent3 2 2 2 3 5" xfId="4493"/>
    <cellStyle name="40% - Accent3 2 2 2 3 6" xfId="12819"/>
    <cellStyle name="40% - Accent3 2 2 2 4" xfId="1557"/>
    <cellStyle name="40% - Accent3 2 2 2 4 2" xfId="7638"/>
    <cellStyle name="40% - Accent3 2 2 2 4 2 2" xfId="15920"/>
    <cellStyle name="40% - Accent3 2 2 2 4 3" xfId="10132"/>
    <cellStyle name="40% - Accent3 2 2 2 4 3 2" xfId="18410"/>
    <cellStyle name="40% - Accent3 2 2 2 4 4" xfId="4495"/>
    <cellStyle name="40% - Accent3 2 2 2 4 5" xfId="12821"/>
    <cellStyle name="40% - Accent3 2 2 2 5" xfId="1558"/>
    <cellStyle name="40% - Accent3 2 2 2 5 2" xfId="7639"/>
    <cellStyle name="40% - Accent3 2 2 2 5 2 2" xfId="15921"/>
    <cellStyle name="40% - Accent3 2 2 2 5 3" xfId="10133"/>
    <cellStyle name="40% - Accent3 2 2 2 5 3 2" xfId="18411"/>
    <cellStyle name="40% - Accent3 2 2 2 5 4" xfId="4496"/>
    <cellStyle name="40% - Accent3 2 2 2 5 5" xfId="12822"/>
    <cellStyle name="40% - Accent3 2 2 2 6" xfId="4497"/>
    <cellStyle name="40% - Accent3 2 2 2 6 2" xfId="12823"/>
    <cellStyle name="40% - Accent3 2 2 2 7" xfId="5878"/>
    <cellStyle name="40% - Accent3 2 2 2 7 2" xfId="14160"/>
    <cellStyle name="40% - Accent3 2 2 2 8" xfId="7633"/>
    <cellStyle name="40% - Accent3 2 2 2 8 2" xfId="15915"/>
    <cellStyle name="40% - Accent3 2 2 2 9" xfId="10127"/>
    <cellStyle name="40% - Accent3 2 2 2 9 2" xfId="18405"/>
    <cellStyle name="40% - Accent3 2 2 3" xfId="1559"/>
    <cellStyle name="40% - Accent3 2 2 3 10" xfId="4498"/>
    <cellStyle name="40% - Accent3 2 2 3 11" xfId="12824"/>
    <cellStyle name="40% - Accent3 2 2 3 2" xfId="1560"/>
    <cellStyle name="40% - Accent3 2 2 3 2 2" xfId="1561"/>
    <cellStyle name="40% - Accent3 2 2 3 2 2 2" xfId="7642"/>
    <cellStyle name="40% - Accent3 2 2 3 2 2 2 2" xfId="15924"/>
    <cellStyle name="40% - Accent3 2 2 3 2 2 3" xfId="10136"/>
    <cellStyle name="40% - Accent3 2 2 3 2 2 3 2" xfId="18414"/>
    <cellStyle name="40% - Accent3 2 2 3 2 2 4" xfId="4500"/>
    <cellStyle name="40% - Accent3 2 2 3 2 2 5" xfId="12826"/>
    <cellStyle name="40% - Accent3 2 2 3 2 3" xfId="7641"/>
    <cellStyle name="40% - Accent3 2 2 3 2 3 2" xfId="15923"/>
    <cellStyle name="40% - Accent3 2 2 3 2 4" xfId="10135"/>
    <cellStyle name="40% - Accent3 2 2 3 2 4 2" xfId="18413"/>
    <cellStyle name="40% - Accent3 2 2 3 2 5" xfId="4499"/>
    <cellStyle name="40% - Accent3 2 2 3 2 6" xfId="12825"/>
    <cellStyle name="40% - Accent3 2 2 3 3" xfId="1562"/>
    <cellStyle name="40% - Accent3 2 2 3 3 2" xfId="1563"/>
    <cellStyle name="40% - Accent3 2 2 3 3 2 2" xfId="7644"/>
    <cellStyle name="40% - Accent3 2 2 3 3 2 2 2" xfId="15926"/>
    <cellStyle name="40% - Accent3 2 2 3 3 2 3" xfId="10138"/>
    <cellStyle name="40% - Accent3 2 2 3 3 2 3 2" xfId="18416"/>
    <cellStyle name="40% - Accent3 2 2 3 3 2 4" xfId="4502"/>
    <cellStyle name="40% - Accent3 2 2 3 3 2 5" xfId="12828"/>
    <cellStyle name="40% - Accent3 2 2 3 3 3" xfId="7643"/>
    <cellStyle name="40% - Accent3 2 2 3 3 3 2" xfId="15925"/>
    <cellStyle name="40% - Accent3 2 2 3 3 4" xfId="10137"/>
    <cellStyle name="40% - Accent3 2 2 3 3 4 2" xfId="18415"/>
    <cellStyle name="40% - Accent3 2 2 3 3 5" xfId="4501"/>
    <cellStyle name="40% - Accent3 2 2 3 3 6" xfId="12827"/>
    <cellStyle name="40% - Accent3 2 2 3 4" xfId="1564"/>
    <cellStyle name="40% - Accent3 2 2 3 4 2" xfId="7645"/>
    <cellStyle name="40% - Accent3 2 2 3 4 2 2" xfId="15927"/>
    <cellStyle name="40% - Accent3 2 2 3 4 3" xfId="10139"/>
    <cellStyle name="40% - Accent3 2 2 3 4 3 2" xfId="18417"/>
    <cellStyle name="40% - Accent3 2 2 3 4 4" xfId="4503"/>
    <cellStyle name="40% - Accent3 2 2 3 4 5" xfId="12829"/>
    <cellStyle name="40% - Accent3 2 2 3 5" xfId="1565"/>
    <cellStyle name="40% - Accent3 2 2 3 5 2" xfId="7646"/>
    <cellStyle name="40% - Accent3 2 2 3 5 2 2" xfId="15928"/>
    <cellStyle name="40% - Accent3 2 2 3 5 3" xfId="10140"/>
    <cellStyle name="40% - Accent3 2 2 3 5 3 2" xfId="18418"/>
    <cellStyle name="40% - Accent3 2 2 3 5 4" xfId="4504"/>
    <cellStyle name="40% - Accent3 2 2 3 5 5" xfId="12830"/>
    <cellStyle name="40% - Accent3 2 2 3 6" xfId="4505"/>
    <cellStyle name="40% - Accent3 2 2 3 6 2" xfId="12831"/>
    <cellStyle name="40% - Accent3 2 2 3 7" xfId="5976"/>
    <cellStyle name="40% - Accent3 2 2 3 7 2" xfId="14258"/>
    <cellStyle name="40% - Accent3 2 2 3 8" xfId="7640"/>
    <cellStyle name="40% - Accent3 2 2 3 8 2" xfId="15922"/>
    <cellStyle name="40% - Accent3 2 2 3 9" xfId="10134"/>
    <cellStyle name="40% - Accent3 2 2 3 9 2" xfId="18412"/>
    <cellStyle name="40% - Accent3 2 2 4" xfId="1566"/>
    <cellStyle name="40% - Accent3 2 2 4 10" xfId="12832"/>
    <cellStyle name="40% - Accent3 2 2 4 2" xfId="1567"/>
    <cellStyle name="40% - Accent3 2 2 4 2 2" xfId="1568"/>
    <cellStyle name="40% - Accent3 2 2 4 2 2 2" xfId="7649"/>
    <cellStyle name="40% - Accent3 2 2 4 2 2 2 2" xfId="15931"/>
    <cellStyle name="40% - Accent3 2 2 4 2 2 3" xfId="10143"/>
    <cellStyle name="40% - Accent3 2 2 4 2 2 3 2" xfId="18421"/>
    <cellStyle name="40% - Accent3 2 2 4 2 2 4" xfId="4508"/>
    <cellStyle name="40% - Accent3 2 2 4 2 2 5" xfId="12834"/>
    <cellStyle name="40% - Accent3 2 2 4 2 3" xfId="7648"/>
    <cellStyle name="40% - Accent3 2 2 4 2 3 2" xfId="15930"/>
    <cellStyle name="40% - Accent3 2 2 4 2 4" xfId="10142"/>
    <cellStyle name="40% - Accent3 2 2 4 2 4 2" xfId="18420"/>
    <cellStyle name="40% - Accent3 2 2 4 2 5" xfId="4507"/>
    <cellStyle name="40% - Accent3 2 2 4 2 6" xfId="12833"/>
    <cellStyle name="40% - Accent3 2 2 4 3" xfId="1569"/>
    <cellStyle name="40% - Accent3 2 2 4 3 2" xfId="7650"/>
    <cellStyle name="40% - Accent3 2 2 4 3 2 2" xfId="15932"/>
    <cellStyle name="40% - Accent3 2 2 4 3 3" xfId="10144"/>
    <cellStyle name="40% - Accent3 2 2 4 3 3 2" xfId="18422"/>
    <cellStyle name="40% - Accent3 2 2 4 3 4" xfId="4509"/>
    <cellStyle name="40% - Accent3 2 2 4 3 5" xfId="12835"/>
    <cellStyle name="40% - Accent3 2 2 4 4" xfId="1570"/>
    <cellStyle name="40% - Accent3 2 2 4 4 2" xfId="7651"/>
    <cellStyle name="40% - Accent3 2 2 4 4 2 2" xfId="15933"/>
    <cellStyle name="40% - Accent3 2 2 4 4 3" xfId="10145"/>
    <cellStyle name="40% - Accent3 2 2 4 4 3 2" xfId="18423"/>
    <cellStyle name="40% - Accent3 2 2 4 4 4" xfId="4510"/>
    <cellStyle name="40% - Accent3 2 2 4 4 5" xfId="12836"/>
    <cellStyle name="40% - Accent3 2 2 4 5" xfId="4511"/>
    <cellStyle name="40% - Accent3 2 2 4 5 2" xfId="12837"/>
    <cellStyle name="40% - Accent3 2 2 4 6" xfId="5792"/>
    <cellStyle name="40% - Accent3 2 2 4 6 2" xfId="14074"/>
    <cellStyle name="40% - Accent3 2 2 4 7" xfId="7647"/>
    <cellStyle name="40% - Accent3 2 2 4 7 2" xfId="15929"/>
    <cellStyle name="40% - Accent3 2 2 4 8" xfId="10141"/>
    <cellStyle name="40% - Accent3 2 2 4 8 2" xfId="18419"/>
    <cellStyle name="40% - Accent3 2 2 4 9" xfId="4506"/>
    <cellStyle name="40% - Accent3 2 2 5" xfId="1571"/>
    <cellStyle name="40% - Accent3 2 2 5 2" xfId="1572"/>
    <cellStyle name="40% - Accent3 2 2 5 2 2" xfId="7653"/>
    <cellStyle name="40% - Accent3 2 2 5 2 2 2" xfId="15935"/>
    <cellStyle name="40% - Accent3 2 2 5 2 3" xfId="10147"/>
    <cellStyle name="40% - Accent3 2 2 5 2 3 2" xfId="18425"/>
    <cellStyle name="40% - Accent3 2 2 5 2 4" xfId="4513"/>
    <cellStyle name="40% - Accent3 2 2 5 2 5" xfId="12839"/>
    <cellStyle name="40% - Accent3 2 2 5 3" xfId="7652"/>
    <cellStyle name="40% - Accent3 2 2 5 3 2" xfId="15934"/>
    <cellStyle name="40% - Accent3 2 2 5 4" xfId="10146"/>
    <cellStyle name="40% - Accent3 2 2 5 4 2" xfId="18424"/>
    <cellStyle name="40% - Accent3 2 2 5 5" xfId="4512"/>
    <cellStyle name="40% - Accent3 2 2 5 6" xfId="12838"/>
    <cellStyle name="40% - Accent3 2 2 6" xfId="1573"/>
    <cellStyle name="40% - Accent3 2 2 6 2" xfId="1574"/>
    <cellStyle name="40% - Accent3 2 2 6 2 2" xfId="7655"/>
    <cellStyle name="40% - Accent3 2 2 6 2 2 2" xfId="15937"/>
    <cellStyle name="40% - Accent3 2 2 6 2 3" xfId="10149"/>
    <cellStyle name="40% - Accent3 2 2 6 2 3 2" xfId="18427"/>
    <cellStyle name="40% - Accent3 2 2 6 2 4" xfId="4515"/>
    <cellStyle name="40% - Accent3 2 2 6 2 5" xfId="12841"/>
    <cellStyle name="40% - Accent3 2 2 6 3" xfId="7654"/>
    <cellStyle name="40% - Accent3 2 2 6 3 2" xfId="15936"/>
    <cellStyle name="40% - Accent3 2 2 6 4" xfId="10148"/>
    <cellStyle name="40% - Accent3 2 2 6 4 2" xfId="18426"/>
    <cellStyle name="40% - Accent3 2 2 6 5" xfId="4514"/>
    <cellStyle name="40% - Accent3 2 2 6 6" xfId="12840"/>
    <cellStyle name="40% - Accent3 2 2 7" xfId="1575"/>
    <cellStyle name="40% - Accent3 2 2 7 2" xfId="7656"/>
    <cellStyle name="40% - Accent3 2 2 7 2 2" xfId="15938"/>
    <cellStyle name="40% - Accent3 2 2 7 3" xfId="10150"/>
    <cellStyle name="40% - Accent3 2 2 7 3 2" xfId="18428"/>
    <cellStyle name="40% - Accent3 2 2 7 4" xfId="4516"/>
    <cellStyle name="40% - Accent3 2 2 7 5" xfId="12842"/>
    <cellStyle name="40% - Accent3 2 2 8" xfId="1576"/>
    <cellStyle name="40% - Accent3 2 2 8 2" xfId="7657"/>
    <cellStyle name="40% - Accent3 2 2 8 2 2" xfId="15939"/>
    <cellStyle name="40% - Accent3 2 2 8 3" xfId="10151"/>
    <cellStyle name="40% - Accent3 2 2 8 3 2" xfId="18429"/>
    <cellStyle name="40% - Accent3 2 2 8 4" xfId="4517"/>
    <cellStyle name="40% - Accent3 2 2 8 5" xfId="12843"/>
    <cellStyle name="40% - Accent3 2 2 9" xfId="4518"/>
    <cellStyle name="40% - Accent3 2 2 9 2" xfId="12844"/>
    <cellStyle name="40% - Accent3 2 3" xfId="1577"/>
    <cellStyle name="40% - Accent3 2 3 10" xfId="5704"/>
    <cellStyle name="40% - Accent3 2 3 10 2" xfId="13990"/>
    <cellStyle name="40% - Accent3 2 3 11" xfId="7658"/>
    <cellStyle name="40% - Accent3 2 3 11 2" xfId="15940"/>
    <cellStyle name="40% - Accent3 2 3 12" xfId="10152"/>
    <cellStyle name="40% - Accent3 2 3 12 2" xfId="18430"/>
    <cellStyle name="40% - Accent3 2 3 13" xfId="4519"/>
    <cellStyle name="40% - Accent3 2 3 14" xfId="12845"/>
    <cellStyle name="40% - Accent3 2 3 2" xfId="1578"/>
    <cellStyle name="40% - Accent3 2 3 2 10" xfId="4520"/>
    <cellStyle name="40% - Accent3 2 3 2 11" xfId="12846"/>
    <cellStyle name="40% - Accent3 2 3 2 2" xfId="1579"/>
    <cellStyle name="40% - Accent3 2 3 2 2 2" xfId="1580"/>
    <cellStyle name="40% - Accent3 2 3 2 2 2 2" xfId="7661"/>
    <cellStyle name="40% - Accent3 2 3 2 2 2 2 2" xfId="15943"/>
    <cellStyle name="40% - Accent3 2 3 2 2 2 3" xfId="10155"/>
    <cellStyle name="40% - Accent3 2 3 2 2 2 3 2" xfId="18433"/>
    <cellStyle name="40% - Accent3 2 3 2 2 2 4" xfId="4522"/>
    <cellStyle name="40% - Accent3 2 3 2 2 2 5" xfId="12848"/>
    <cellStyle name="40% - Accent3 2 3 2 2 3" xfId="7660"/>
    <cellStyle name="40% - Accent3 2 3 2 2 3 2" xfId="15942"/>
    <cellStyle name="40% - Accent3 2 3 2 2 4" xfId="10154"/>
    <cellStyle name="40% - Accent3 2 3 2 2 4 2" xfId="18432"/>
    <cellStyle name="40% - Accent3 2 3 2 2 5" xfId="4521"/>
    <cellStyle name="40% - Accent3 2 3 2 2 6" xfId="12847"/>
    <cellStyle name="40% - Accent3 2 3 2 3" xfId="1581"/>
    <cellStyle name="40% - Accent3 2 3 2 3 2" xfId="1582"/>
    <cellStyle name="40% - Accent3 2 3 2 3 2 2" xfId="7663"/>
    <cellStyle name="40% - Accent3 2 3 2 3 2 2 2" xfId="15945"/>
    <cellStyle name="40% - Accent3 2 3 2 3 2 3" xfId="10157"/>
    <cellStyle name="40% - Accent3 2 3 2 3 2 3 2" xfId="18435"/>
    <cellStyle name="40% - Accent3 2 3 2 3 2 4" xfId="4524"/>
    <cellStyle name="40% - Accent3 2 3 2 3 2 5" xfId="12850"/>
    <cellStyle name="40% - Accent3 2 3 2 3 3" xfId="7662"/>
    <cellStyle name="40% - Accent3 2 3 2 3 3 2" xfId="15944"/>
    <cellStyle name="40% - Accent3 2 3 2 3 4" xfId="10156"/>
    <cellStyle name="40% - Accent3 2 3 2 3 4 2" xfId="18434"/>
    <cellStyle name="40% - Accent3 2 3 2 3 5" xfId="4523"/>
    <cellStyle name="40% - Accent3 2 3 2 3 6" xfId="12849"/>
    <cellStyle name="40% - Accent3 2 3 2 4" xfId="1583"/>
    <cellStyle name="40% - Accent3 2 3 2 4 2" xfId="7664"/>
    <cellStyle name="40% - Accent3 2 3 2 4 2 2" xfId="15946"/>
    <cellStyle name="40% - Accent3 2 3 2 4 3" xfId="10158"/>
    <cellStyle name="40% - Accent3 2 3 2 4 3 2" xfId="18436"/>
    <cellStyle name="40% - Accent3 2 3 2 4 4" xfId="4525"/>
    <cellStyle name="40% - Accent3 2 3 2 4 5" xfId="12851"/>
    <cellStyle name="40% - Accent3 2 3 2 5" xfId="1584"/>
    <cellStyle name="40% - Accent3 2 3 2 5 2" xfId="7665"/>
    <cellStyle name="40% - Accent3 2 3 2 5 2 2" xfId="15947"/>
    <cellStyle name="40% - Accent3 2 3 2 5 3" xfId="10159"/>
    <cellStyle name="40% - Accent3 2 3 2 5 3 2" xfId="18437"/>
    <cellStyle name="40% - Accent3 2 3 2 5 4" xfId="4526"/>
    <cellStyle name="40% - Accent3 2 3 2 5 5" xfId="12852"/>
    <cellStyle name="40% - Accent3 2 3 2 6" xfId="4527"/>
    <cellStyle name="40% - Accent3 2 3 2 6 2" xfId="12853"/>
    <cellStyle name="40% - Accent3 2 3 2 7" xfId="5906"/>
    <cellStyle name="40% - Accent3 2 3 2 7 2" xfId="14188"/>
    <cellStyle name="40% - Accent3 2 3 2 8" xfId="7659"/>
    <cellStyle name="40% - Accent3 2 3 2 8 2" xfId="15941"/>
    <cellStyle name="40% - Accent3 2 3 2 9" xfId="10153"/>
    <cellStyle name="40% - Accent3 2 3 2 9 2" xfId="18431"/>
    <cellStyle name="40% - Accent3 2 3 3" xfId="1585"/>
    <cellStyle name="40% - Accent3 2 3 3 10" xfId="4528"/>
    <cellStyle name="40% - Accent3 2 3 3 11" xfId="12854"/>
    <cellStyle name="40% - Accent3 2 3 3 2" xfId="1586"/>
    <cellStyle name="40% - Accent3 2 3 3 2 2" xfId="1587"/>
    <cellStyle name="40% - Accent3 2 3 3 2 2 2" xfId="7668"/>
    <cellStyle name="40% - Accent3 2 3 3 2 2 2 2" xfId="15950"/>
    <cellStyle name="40% - Accent3 2 3 3 2 2 3" xfId="10162"/>
    <cellStyle name="40% - Accent3 2 3 3 2 2 3 2" xfId="18440"/>
    <cellStyle name="40% - Accent3 2 3 3 2 2 4" xfId="4530"/>
    <cellStyle name="40% - Accent3 2 3 3 2 2 5" xfId="12856"/>
    <cellStyle name="40% - Accent3 2 3 3 2 3" xfId="7667"/>
    <cellStyle name="40% - Accent3 2 3 3 2 3 2" xfId="15949"/>
    <cellStyle name="40% - Accent3 2 3 3 2 4" xfId="10161"/>
    <cellStyle name="40% - Accent3 2 3 3 2 4 2" xfId="18439"/>
    <cellStyle name="40% - Accent3 2 3 3 2 5" xfId="4529"/>
    <cellStyle name="40% - Accent3 2 3 3 2 6" xfId="12855"/>
    <cellStyle name="40% - Accent3 2 3 3 3" xfId="1588"/>
    <cellStyle name="40% - Accent3 2 3 3 3 2" xfId="1589"/>
    <cellStyle name="40% - Accent3 2 3 3 3 2 2" xfId="7670"/>
    <cellStyle name="40% - Accent3 2 3 3 3 2 2 2" xfId="15952"/>
    <cellStyle name="40% - Accent3 2 3 3 3 2 3" xfId="10164"/>
    <cellStyle name="40% - Accent3 2 3 3 3 2 3 2" xfId="18442"/>
    <cellStyle name="40% - Accent3 2 3 3 3 2 4" xfId="4532"/>
    <cellStyle name="40% - Accent3 2 3 3 3 2 5" xfId="12858"/>
    <cellStyle name="40% - Accent3 2 3 3 3 3" xfId="7669"/>
    <cellStyle name="40% - Accent3 2 3 3 3 3 2" xfId="15951"/>
    <cellStyle name="40% - Accent3 2 3 3 3 4" xfId="10163"/>
    <cellStyle name="40% - Accent3 2 3 3 3 4 2" xfId="18441"/>
    <cellStyle name="40% - Accent3 2 3 3 3 5" xfId="4531"/>
    <cellStyle name="40% - Accent3 2 3 3 3 6" xfId="12857"/>
    <cellStyle name="40% - Accent3 2 3 3 4" xfId="1590"/>
    <cellStyle name="40% - Accent3 2 3 3 4 2" xfId="7671"/>
    <cellStyle name="40% - Accent3 2 3 3 4 2 2" xfId="15953"/>
    <cellStyle name="40% - Accent3 2 3 3 4 3" xfId="10165"/>
    <cellStyle name="40% - Accent3 2 3 3 4 3 2" xfId="18443"/>
    <cellStyle name="40% - Accent3 2 3 3 4 4" xfId="4533"/>
    <cellStyle name="40% - Accent3 2 3 3 4 5" xfId="12859"/>
    <cellStyle name="40% - Accent3 2 3 3 5" xfId="1591"/>
    <cellStyle name="40% - Accent3 2 3 3 5 2" xfId="7672"/>
    <cellStyle name="40% - Accent3 2 3 3 5 2 2" xfId="15954"/>
    <cellStyle name="40% - Accent3 2 3 3 5 3" xfId="10166"/>
    <cellStyle name="40% - Accent3 2 3 3 5 3 2" xfId="18444"/>
    <cellStyle name="40% - Accent3 2 3 3 5 4" xfId="4534"/>
    <cellStyle name="40% - Accent3 2 3 3 5 5" xfId="12860"/>
    <cellStyle name="40% - Accent3 2 3 3 6" xfId="4535"/>
    <cellStyle name="40% - Accent3 2 3 3 6 2" xfId="12861"/>
    <cellStyle name="40% - Accent3 2 3 3 7" xfId="6004"/>
    <cellStyle name="40% - Accent3 2 3 3 7 2" xfId="14286"/>
    <cellStyle name="40% - Accent3 2 3 3 8" xfId="7666"/>
    <cellStyle name="40% - Accent3 2 3 3 8 2" xfId="15948"/>
    <cellStyle name="40% - Accent3 2 3 3 9" xfId="10160"/>
    <cellStyle name="40% - Accent3 2 3 3 9 2" xfId="18438"/>
    <cellStyle name="40% - Accent3 2 3 4" xfId="1592"/>
    <cellStyle name="40% - Accent3 2 3 4 10" xfId="12862"/>
    <cellStyle name="40% - Accent3 2 3 4 2" xfId="1593"/>
    <cellStyle name="40% - Accent3 2 3 4 2 2" xfId="1594"/>
    <cellStyle name="40% - Accent3 2 3 4 2 2 2" xfId="7675"/>
    <cellStyle name="40% - Accent3 2 3 4 2 2 2 2" xfId="15957"/>
    <cellStyle name="40% - Accent3 2 3 4 2 2 3" xfId="10169"/>
    <cellStyle name="40% - Accent3 2 3 4 2 2 3 2" xfId="18447"/>
    <cellStyle name="40% - Accent3 2 3 4 2 2 4" xfId="4538"/>
    <cellStyle name="40% - Accent3 2 3 4 2 2 5" xfId="12864"/>
    <cellStyle name="40% - Accent3 2 3 4 2 3" xfId="7674"/>
    <cellStyle name="40% - Accent3 2 3 4 2 3 2" xfId="15956"/>
    <cellStyle name="40% - Accent3 2 3 4 2 4" xfId="10168"/>
    <cellStyle name="40% - Accent3 2 3 4 2 4 2" xfId="18446"/>
    <cellStyle name="40% - Accent3 2 3 4 2 5" xfId="4537"/>
    <cellStyle name="40% - Accent3 2 3 4 2 6" xfId="12863"/>
    <cellStyle name="40% - Accent3 2 3 4 3" xfId="1595"/>
    <cellStyle name="40% - Accent3 2 3 4 3 2" xfId="7676"/>
    <cellStyle name="40% - Accent3 2 3 4 3 2 2" xfId="15958"/>
    <cellStyle name="40% - Accent3 2 3 4 3 3" xfId="10170"/>
    <cellStyle name="40% - Accent3 2 3 4 3 3 2" xfId="18448"/>
    <cellStyle name="40% - Accent3 2 3 4 3 4" xfId="4539"/>
    <cellStyle name="40% - Accent3 2 3 4 3 5" xfId="12865"/>
    <cellStyle name="40% - Accent3 2 3 4 4" xfId="1596"/>
    <cellStyle name="40% - Accent3 2 3 4 4 2" xfId="7677"/>
    <cellStyle name="40% - Accent3 2 3 4 4 2 2" xfId="15959"/>
    <cellStyle name="40% - Accent3 2 3 4 4 3" xfId="10171"/>
    <cellStyle name="40% - Accent3 2 3 4 4 3 2" xfId="18449"/>
    <cellStyle name="40% - Accent3 2 3 4 4 4" xfId="4540"/>
    <cellStyle name="40% - Accent3 2 3 4 4 5" xfId="12866"/>
    <cellStyle name="40% - Accent3 2 3 4 5" xfId="4541"/>
    <cellStyle name="40% - Accent3 2 3 4 5 2" xfId="12867"/>
    <cellStyle name="40% - Accent3 2 3 4 6" xfId="5820"/>
    <cellStyle name="40% - Accent3 2 3 4 6 2" xfId="14102"/>
    <cellStyle name="40% - Accent3 2 3 4 7" xfId="7673"/>
    <cellStyle name="40% - Accent3 2 3 4 7 2" xfId="15955"/>
    <cellStyle name="40% - Accent3 2 3 4 8" xfId="10167"/>
    <cellStyle name="40% - Accent3 2 3 4 8 2" xfId="18445"/>
    <cellStyle name="40% - Accent3 2 3 4 9" xfId="4536"/>
    <cellStyle name="40% - Accent3 2 3 5" xfId="1597"/>
    <cellStyle name="40% - Accent3 2 3 5 2" xfId="1598"/>
    <cellStyle name="40% - Accent3 2 3 5 2 2" xfId="7679"/>
    <cellStyle name="40% - Accent3 2 3 5 2 2 2" xfId="15961"/>
    <cellStyle name="40% - Accent3 2 3 5 2 3" xfId="10173"/>
    <cellStyle name="40% - Accent3 2 3 5 2 3 2" xfId="18451"/>
    <cellStyle name="40% - Accent3 2 3 5 2 4" xfId="4543"/>
    <cellStyle name="40% - Accent3 2 3 5 2 5" xfId="12869"/>
    <cellStyle name="40% - Accent3 2 3 5 3" xfId="7678"/>
    <cellStyle name="40% - Accent3 2 3 5 3 2" xfId="15960"/>
    <cellStyle name="40% - Accent3 2 3 5 4" xfId="10172"/>
    <cellStyle name="40% - Accent3 2 3 5 4 2" xfId="18450"/>
    <cellStyle name="40% - Accent3 2 3 5 5" xfId="4542"/>
    <cellStyle name="40% - Accent3 2 3 5 6" xfId="12868"/>
    <cellStyle name="40% - Accent3 2 3 6" xfId="1599"/>
    <cellStyle name="40% - Accent3 2 3 6 2" xfId="1600"/>
    <cellStyle name="40% - Accent3 2 3 6 2 2" xfId="7681"/>
    <cellStyle name="40% - Accent3 2 3 6 2 2 2" xfId="15963"/>
    <cellStyle name="40% - Accent3 2 3 6 2 3" xfId="10175"/>
    <cellStyle name="40% - Accent3 2 3 6 2 3 2" xfId="18453"/>
    <cellStyle name="40% - Accent3 2 3 6 2 4" xfId="4545"/>
    <cellStyle name="40% - Accent3 2 3 6 2 5" xfId="12871"/>
    <cellStyle name="40% - Accent3 2 3 6 3" xfId="7680"/>
    <cellStyle name="40% - Accent3 2 3 6 3 2" xfId="15962"/>
    <cellStyle name="40% - Accent3 2 3 6 4" xfId="10174"/>
    <cellStyle name="40% - Accent3 2 3 6 4 2" xfId="18452"/>
    <cellStyle name="40% - Accent3 2 3 6 5" xfId="4544"/>
    <cellStyle name="40% - Accent3 2 3 6 6" xfId="12870"/>
    <cellStyle name="40% - Accent3 2 3 7" xfId="1601"/>
    <cellStyle name="40% - Accent3 2 3 7 2" xfId="7682"/>
    <cellStyle name="40% - Accent3 2 3 7 2 2" xfId="15964"/>
    <cellStyle name="40% - Accent3 2 3 7 3" xfId="10176"/>
    <cellStyle name="40% - Accent3 2 3 7 3 2" xfId="18454"/>
    <cellStyle name="40% - Accent3 2 3 7 4" xfId="4546"/>
    <cellStyle name="40% - Accent3 2 3 7 5" xfId="12872"/>
    <cellStyle name="40% - Accent3 2 3 8" xfId="1602"/>
    <cellStyle name="40% - Accent3 2 3 8 2" xfId="7683"/>
    <cellStyle name="40% - Accent3 2 3 8 2 2" xfId="15965"/>
    <cellStyle name="40% - Accent3 2 3 8 3" xfId="10177"/>
    <cellStyle name="40% - Accent3 2 3 8 3 2" xfId="18455"/>
    <cellStyle name="40% - Accent3 2 3 8 4" xfId="4547"/>
    <cellStyle name="40% - Accent3 2 3 8 5" xfId="12873"/>
    <cellStyle name="40% - Accent3 2 3 9" xfId="4548"/>
    <cellStyle name="40% - Accent3 2 3 9 2" xfId="12874"/>
    <cellStyle name="40% - Accent3 2 4" xfId="1603"/>
    <cellStyle name="40% - Accent3 2 4 10" xfId="4549"/>
    <cellStyle name="40% - Accent3 2 4 11" xfId="12875"/>
    <cellStyle name="40% - Accent3 2 4 2" xfId="1604"/>
    <cellStyle name="40% - Accent3 2 4 2 2" xfId="1605"/>
    <cellStyle name="40% - Accent3 2 4 2 2 2" xfId="7686"/>
    <cellStyle name="40% - Accent3 2 4 2 2 2 2" xfId="15968"/>
    <cellStyle name="40% - Accent3 2 4 2 2 3" xfId="10180"/>
    <cellStyle name="40% - Accent3 2 4 2 2 3 2" xfId="18458"/>
    <cellStyle name="40% - Accent3 2 4 2 2 4" xfId="4551"/>
    <cellStyle name="40% - Accent3 2 4 2 2 5" xfId="12877"/>
    <cellStyle name="40% - Accent3 2 4 2 3" xfId="7685"/>
    <cellStyle name="40% - Accent3 2 4 2 3 2" xfId="15967"/>
    <cellStyle name="40% - Accent3 2 4 2 4" xfId="10179"/>
    <cellStyle name="40% - Accent3 2 4 2 4 2" xfId="18457"/>
    <cellStyle name="40% - Accent3 2 4 2 5" xfId="4550"/>
    <cellStyle name="40% - Accent3 2 4 2 6" xfId="12876"/>
    <cellStyle name="40% - Accent3 2 4 3" xfId="1606"/>
    <cellStyle name="40% - Accent3 2 4 3 2" xfId="1607"/>
    <cellStyle name="40% - Accent3 2 4 3 2 2" xfId="7688"/>
    <cellStyle name="40% - Accent3 2 4 3 2 2 2" xfId="15970"/>
    <cellStyle name="40% - Accent3 2 4 3 2 3" xfId="10182"/>
    <cellStyle name="40% - Accent3 2 4 3 2 3 2" xfId="18460"/>
    <cellStyle name="40% - Accent3 2 4 3 2 4" xfId="4553"/>
    <cellStyle name="40% - Accent3 2 4 3 2 5" xfId="12879"/>
    <cellStyle name="40% - Accent3 2 4 3 3" xfId="7687"/>
    <cellStyle name="40% - Accent3 2 4 3 3 2" xfId="15969"/>
    <cellStyle name="40% - Accent3 2 4 3 4" xfId="10181"/>
    <cellStyle name="40% - Accent3 2 4 3 4 2" xfId="18459"/>
    <cellStyle name="40% - Accent3 2 4 3 5" xfId="4552"/>
    <cellStyle name="40% - Accent3 2 4 3 6" xfId="12878"/>
    <cellStyle name="40% - Accent3 2 4 4" xfId="1608"/>
    <cellStyle name="40% - Accent3 2 4 4 2" xfId="7689"/>
    <cellStyle name="40% - Accent3 2 4 4 2 2" xfId="15971"/>
    <cellStyle name="40% - Accent3 2 4 4 3" xfId="10183"/>
    <cellStyle name="40% - Accent3 2 4 4 3 2" xfId="18461"/>
    <cellStyle name="40% - Accent3 2 4 4 4" xfId="4554"/>
    <cellStyle name="40% - Accent3 2 4 4 5" xfId="12880"/>
    <cellStyle name="40% - Accent3 2 4 5" xfId="1609"/>
    <cellStyle name="40% - Accent3 2 4 5 2" xfId="7690"/>
    <cellStyle name="40% - Accent3 2 4 5 2 2" xfId="15972"/>
    <cellStyle name="40% - Accent3 2 4 5 3" xfId="10184"/>
    <cellStyle name="40% - Accent3 2 4 5 3 2" xfId="18462"/>
    <cellStyle name="40% - Accent3 2 4 5 4" xfId="4555"/>
    <cellStyle name="40% - Accent3 2 4 5 5" xfId="12881"/>
    <cellStyle name="40% - Accent3 2 4 6" xfId="4556"/>
    <cellStyle name="40% - Accent3 2 4 6 2" xfId="12882"/>
    <cellStyle name="40% - Accent3 2 4 7" xfId="5763"/>
    <cellStyle name="40% - Accent3 2 4 7 2" xfId="14047"/>
    <cellStyle name="40% - Accent3 2 4 8" xfId="7684"/>
    <cellStyle name="40% - Accent3 2 4 8 2" xfId="15966"/>
    <cellStyle name="40% - Accent3 2 4 9" xfId="10178"/>
    <cellStyle name="40% - Accent3 2 4 9 2" xfId="18456"/>
    <cellStyle name="40% - Accent3 2 5" xfId="1610"/>
    <cellStyle name="40% - Accent3 2 5 10" xfId="4557"/>
    <cellStyle name="40% - Accent3 2 5 11" xfId="12883"/>
    <cellStyle name="40% - Accent3 2 5 2" xfId="1611"/>
    <cellStyle name="40% - Accent3 2 5 2 2" xfId="1612"/>
    <cellStyle name="40% - Accent3 2 5 2 2 2" xfId="7693"/>
    <cellStyle name="40% - Accent3 2 5 2 2 2 2" xfId="15975"/>
    <cellStyle name="40% - Accent3 2 5 2 2 3" xfId="10187"/>
    <cellStyle name="40% - Accent3 2 5 2 2 3 2" xfId="18465"/>
    <cellStyle name="40% - Accent3 2 5 2 2 4" xfId="4559"/>
    <cellStyle name="40% - Accent3 2 5 2 2 5" xfId="12885"/>
    <cellStyle name="40% - Accent3 2 5 2 3" xfId="7692"/>
    <cellStyle name="40% - Accent3 2 5 2 3 2" xfId="15974"/>
    <cellStyle name="40% - Accent3 2 5 2 4" xfId="10186"/>
    <cellStyle name="40% - Accent3 2 5 2 4 2" xfId="18464"/>
    <cellStyle name="40% - Accent3 2 5 2 5" xfId="4558"/>
    <cellStyle name="40% - Accent3 2 5 2 6" xfId="12884"/>
    <cellStyle name="40% - Accent3 2 5 3" xfId="1613"/>
    <cellStyle name="40% - Accent3 2 5 3 2" xfId="1614"/>
    <cellStyle name="40% - Accent3 2 5 3 2 2" xfId="7695"/>
    <cellStyle name="40% - Accent3 2 5 3 2 2 2" xfId="15977"/>
    <cellStyle name="40% - Accent3 2 5 3 2 3" xfId="10189"/>
    <cellStyle name="40% - Accent3 2 5 3 2 3 2" xfId="18467"/>
    <cellStyle name="40% - Accent3 2 5 3 2 4" xfId="4561"/>
    <cellStyle name="40% - Accent3 2 5 3 2 5" xfId="12887"/>
    <cellStyle name="40% - Accent3 2 5 3 3" xfId="7694"/>
    <cellStyle name="40% - Accent3 2 5 3 3 2" xfId="15976"/>
    <cellStyle name="40% - Accent3 2 5 3 4" xfId="10188"/>
    <cellStyle name="40% - Accent3 2 5 3 4 2" xfId="18466"/>
    <cellStyle name="40% - Accent3 2 5 3 5" xfId="4560"/>
    <cellStyle name="40% - Accent3 2 5 3 6" xfId="12886"/>
    <cellStyle name="40% - Accent3 2 5 4" xfId="1615"/>
    <cellStyle name="40% - Accent3 2 5 4 2" xfId="7696"/>
    <cellStyle name="40% - Accent3 2 5 4 2 2" xfId="15978"/>
    <cellStyle name="40% - Accent3 2 5 4 3" xfId="10190"/>
    <cellStyle name="40% - Accent3 2 5 4 3 2" xfId="18468"/>
    <cellStyle name="40% - Accent3 2 5 4 4" xfId="4562"/>
    <cellStyle name="40% - Accent3 2 5 4 5" xfId="12888"/>
    <cellStyle name="40% - Accent3 2 5 5" xfId="1616"/>
    <cellStyle name="40% - Accent3 2 5 5 2" xfId="7697"/>
    <cellStyle name="40% - Accent3 2 5 5 2 2" xfId="15979"/>
    <cellStyle name="40% - Accent3 2 5 5 3" xfId="10191"/>
    <cellStyle name="40% - Accent3 2 5 5 3 2" xfId="18469"/>
    <cellStyle name="40% - Accent3 2 5 5 4" xfId="4563"/>
    <cellStyle name="40% - Accent3 2 5 5 5" xfId="12889"/>
    <cellStyle name="40% - Accent3 2 5 6" xfId="4564"/>
    <cellStyle name="40% - Accent3 2 5 6 2" xfId="12890"/>
    <cellStyle name="40% - Accent3 2 5 7" xfId="5851"/>
    <cellStyle name="40% - Accent3 2 5 7 2" xfId="14133"/>
    <cellStyle name="40% - Accent3 2 5 8" xfId="7691"/>
    <cellStyle name="40% - Accent3 2 5 8 2" xfId="15973"/>
    <cellStyle name="40% - Accent3 2 5 9" xfId="10185"/>
    <cellStyle name="40% - Accent3 2 5 9 2" xfId="18463"/>
    <cellStyle name="40% - Accent3 2 6" xfId="1617"/>
    <cellStyle name="40% - Accent3 2 6 10" xfId="4565"/>
    <cellStyle name="40% - Accent3 2 6 11" xfId="12891"/>
    <cellStyle name="40% - Accent3 2 6 2" xfId="1618"/>
    <cellStyle name="40% - Accent3 2 6 2 2" xfId="1619"/>
    <cellStyle name="40% - Accent3 2 6 2 2 2" xfId="7700"/>
    <cellStyle name="40% - Accent3 2 6 2 2 2 2" xfId="15982"/>
    <cellStyle name="40% - Accent3 2 6 2 2 3" xfId="10194"/>
    <cellStyle name="40% - Accent3 2 6 2 2 3 2" xfId="18472"/>
    <cellStyle name="40% - Accent3 2 6 2 2 4" xfId="4567"/>
    <cellStyle name="40% - Accent3 2 6 2 2 5" xfId="12893"/>
    <cellStyle name="40% - Accent3 2 6 2 3" xfId="7699"/>
    <cellStyle name="40% - Accent3 2 6 2 3 2" xfId="15981"/>
    <cellStyle name="40% - Accent3 2 6 2 4" xfId="10193"/>
    <cellStyle name="40% - Accent3 2 6 2 4 2" xfId="18471"/>
    <cellStyle name="40% - Accent3 2 6 2 5" xfId="4566"/>
    <cellStyle name="40% - Accent3 2 6 2 6" xfId="12892"/>
    <cellStyle name="40% - Accent3 2 6 3" xfId="1620"/>
    <cellStyle name="40% - Accent3 2 6 3 2" xfId="1621"/>
    <cellStyle name="40% - Accent3 2 6 3 2 2" xfId="7702"/>
    <cellStyle name="40% - Accent3 2 6 3 2 2 2" xfId="15984"/>
    <cellStyle name="40% - Accent3 2 6 3 2 3" xfId="10196"/>
    <cellStyle name="40% - Accent3 2 6 3 2 3 2" xfId="18474"/>
    <cellStyle name="40% - Accent3 2 6 3 2 4" xfId="4569"/>
    <cellStyle name="40% - Accent3 2 6 3 2 5" xfId="12895"/>
    <cellStyle name="40% - Accent3 2 6 3 3" xfId="7701"/>
    <cellStyle name="40% - Accent3 2 6 3 3 2" xfId="15983"/>
    <cellStyle name="40% - Accent3 2 6 3 4" xfId="10195"/>
    <cellStyle name="40% - Accent3 2 6 3 4 2" xfId="18473"/>
    <cellStyle name="40% - Accent3 2 6 3 5" xfId="4568"/>
    <cellStyle name="40% - Accent3 2 6 3 6" xfId="12894"/>
    <cellStyle name="40% - Accent3 2 6 4" xfId="1622"/>
    <cellStyle name="40% - Accent3 2 6 4 2" xfId="7703"/>
    <cellStyle name="40% - Accent3 2 6 4 2 2" xfId="15985"/>
    <cellStyle name="40% - Accent3 2 6 4 3" xfId="10197"/>
    <cellStyle name="40% - Accent3 2 6 4 3 2" xfId="18475"/>
    <cellStyle name="40% - Accent3 2 6 4 4" xfId="4570"/>
    <cellStyle name="40% - Accent3 2 6 4 5" xfId="12896"/>
    <cellStyle name="40% - Accent3 2 6 5" xfId="1623"/>
    <cellStyle name="40% - Accent3 2 6 5 2" xfId="7704"/>
    <cellStyle name="40% - Accent3 2 6 5 2 2" xfId="15986"/>
    <cellStyle name="40% - Accent3 2 6 5 3" xfId="10198"/>
    <cellStyle name="40% - Accent3 2 6 5 3 2" xfId="18476"/>
    <cellStyle name="40% - Accent3 2 6 5 4" xfId="4571"/>
    <cellStyle name="40% - Accent3 2 6 5 5" xfId="12897"/>
    <cellStyle name="40% - Accent3 2 6 6" xfId="4572"/>
    <cellStyle name="40% - Accent3 2 6 6 2" xfId="12898"/>
    <cellStyle name="40% - Accent3 2 6 7" xfId="5949"/>
    <cellStyle name="40% - Accent3 2 6 7 2" xfId="14231"/>
    <cellStyle name="40% - Accent3 2 6 8" xfId="7698"/>
    <cellStyle name="40% - Accent3 2 6 8 2" xfId="15980"/>
    <cellStyle name="40% - Accent3 2 6 9" xfId="10192"/>
    <cellStyle name="40% - Accent3 2 6 9 2" xfId="18470"/>
    <cellStyle name="40% - Accent3 2 7" xfId="1624"/>
    <cellStyle name="40% - Accent3 2 7 10" xfId="12899"/>
    <cellStyle name="40% - Accent3 2 7 2" xfId="1625"/>
    <cellStyle name="40% - Accent3 2 7 2 2" xfId="1626"/>
    <cellStyle name="40% - Accent3 2 7 2 2 2" xfId="7707"/>
    <cellStyle name="40% - Accent3 2 7 2 2 2 2" xfId="15989"/>
    <cellStyle name="40% - Accent3 2 7 2 2 3" xfId="10201"/>
    <cellStyle name="40% - Accent3 2 7 2 2 3 2" xfId="18479"/>
    <cellStyle name="40% - Accent3 2 7 2 2 4" xfId="4575"/>
    <cellStyle name="40% - Accent3 2 7 2 2 5" xfId="12901"/>
    <cellStyle name="40% - Accent3 2 7 2 3" xfId="7706"/>
    <cellStyle name="40% - Accent3 2 7 2 3 2" xfId="15988"/>
    <cellStyle name="40% - Accent3 2 7 2 4" xfId="10200"/>
    <cellStyle name="40% - Accent3 2 7 2 4 2" xfId="18478"/>
    <cellStyle name="40% - Accent3 2 7 2 5" xfId="4574"/>
    <cellStyle name="40% - Accent3 2 7 2 6" xfId="12900"/>
    <cellStyle name="40% - Accent3 2 7 3" xfId="1627"/>
    <cellStyle name="40% - Accent3 2 7 3 2" xfId="7708"/>
    <cellStyle name="40% - Accent3 2 7 3 2 2" xfId="15990"/>
    <cellStyle name="40% - Accent3 2 7 3 3" xfId="10202"/>
    <cellStyle name="40% - Accent3 2 7 3 3 2" xfId="18480"/>
    <cellStyle name="40% - Accent3 2 7 3 4" xfId="4576"/>
    <cellStyle name="40% - Accent3 2 7 3 5" xfId="12902"/>
    <cellStyle name="40% - Accent3 2 7 4" xfId="1628"/>
    <cellStyle name="40% - Accent3 2 7 4 2" xfId="7709"/>
    <cellStyle name="40% - Accent3 2 7 4 2 2" xfId="15991"/>
    <cellStyle name="40% - Accent3 2 7 4 3" xfId="10203"/>
    <cellStyle name="40% - Accent3 2 7 4 3 2" xfId="18481"/>
    <cellStyle name="40% - Accent3 2 7 4 4" xfId="4577"/>
    <cellStyle name="40% - Accent3 2 7 4 5" xfId="12903"/>
    <cellStyle name="40% - Accent3 2 7 5" xfId="4578"/>
    <cellStyle name="40% - Accent3 2 7 5 2" xfId="12904"/>
    <cellStyle name="40% - Accent3 2 7 6" xfId="5732"/>
    <cellStyle name="40% - Accent3 2 7 6 2" xfId="14018"/>
    <cellStyle name="40% - Accent3 2 7 7" xfId="7705"/>
    <cellStyle name="40% - Accent3 2 7 7 2" xfId="15987"/>
    <cellStyle name="40% - Accent3 2 7 8" xfId="10199"/>
    <cellStyle name="40% - Accent3 2 7 8 2" xfId="18477"/>
    <cellStyle name="40% - Accent3 2 7 9" xfId="4573"/>
    <cellStyle name="40% - Accent3 2 8" xfId="1629"/>
    <cellStyle name="40% - Accent3 2 8 2" xfId="1630"/>
    <cellStyle name="40% - Accent3 2 8 2 2" xfId="7711"/>
    <cellStyle name="40% - Accent3 2 8 2 2 2" xfId="15993"/>
    <cellStyle name="40% - Accent3 2 8 2 3" xfId="10205"/>
    <cellStyle name="40% - Accent3 2 8 2 3 2" xfId="18483"/>
    <cellStyle name="40% - Accent3 2 8 2 4" xfId="4580"/>
    <cellStyle name="40% - Accent3 2 8 2 5" xfId="12906"/>
    <cellStyle name="40% - Accent3 2 8 3" xfId="7710"/>
    <cellStyle name="40% - Accent3 2 8 3 2" xfId="15992"/>
    <cellStyle name="40% - Accent3 2 8 4" xfId="10204"/>
    <cellStyle name="40% - Accent3 2 8 4 2" xfId="18482"/>
    <cellStyle name="40% - Accent3 2 8 5" xfId="4579"/>
    <cellStyle name="40% - Accent3 2 8 6" xfId="12905"/>
    <cellStyle name="40% - Accent3 2 9" xfId="1631"/>
    <cellStyle name="40% - Accent3 2 9 2" xfId="1632"/>
    <cellStyle name="40% - Accent3 2 9 2 2" xfId="7713"/>
    <cellStyle name="40% - Accent3 2 9 2 2 2" xfId="15995"/>
    <cellStyle name="40% - Accent3 2 9 2 3" xfId="10207"/>
    <cellStyle name="40% - Accent3 2 9 2 3 2" xfId="18485"/>
    <cellStyle name="40% - Accent3 2 9 2 4" xfId="4582"/>
    <cellStyle name="40% - Accent3 2 9 2 5" xfId="12908"/>
    <cellStyle name="40% - Accent3 2 9 3" xfId="7712"/>
    <cellStyle name="40% - Accent3 2 9 3 2" xfId="15994"/>
    <cellStyle name="40% - Accent3 2 9 4" xfId="10206"/>
    <cellStyle name="40% - Accent3 2 9 4 2" xfId="18484"/>
    <cellStyle name="40% - Accent3 2 9 5" xfId="4581"/>
    <cellStyle name="40% - Accent3 2 9 6" xfId="12907"/>
    <cellStyle name="40% - Accent3 20" xfId="4460"/>
    <cellStyle name="40% - Accent3 21" xfId="12786"/>
    <cellStyle name="40% - Accent3 22" xfId="19352"/>
    <cellStyle name="40% - Accent3 3" xfId="1633"/>
    <cellStyle name="40% - Accent3 3 10" xfId="5662"/>
    <cellStyle name="40% - Accent3 3 10 2" xfId="13949"/>
    <cellStyle name="40% - Accent3 3 11" xfId="7714"/>
    <cellStyle name="40% - Accent3 3 11 2" xfId="15996"/>
    <cellStyle name="40% - Accent3 3 12" xfId="10208"/>
    <cellStyle name="40% - Accent3 3 12 2" xfId="18486"/>
    <cellStyle name="40% - Accent3 3 13" xfId="4583"/>
    <cellStyle name="40% - Accent3 3 14" xfId="12909"/>
    <cellStyle name="40% - Accent3 3 2" xfId="1634"/>
    <cellStyle name="40% - Accent3 3 2 10" xfId="4584"/>
    <cellStyle name="40% - Accent3 3 2 11" xfId="12910"/>
    <cellStyle name="40% - Accent3 3 2 2" xfId="1635"/>
    <cellStyle name="40% - Accent3 3 2 2 2" xfId="1636"/>
    <cellStyle name="40% - Accent3 3 2 2 2 2" xfId="7717"/>
    <cellStyle name="40% - Accent3 3 2 2 2 2 2" xfId="15999"/>
    <cellStyle name="40% - Accent3 3 2 2 2 3" xfId="10211"/>
    <cellStyle name="40% - Accent3 3 2 2 2 3 2" xfId="18489"/>
    <cellStyle name="40% - Accent3 3 2 2 2 4" xfId="4586"/>
    <cellStyle name="40% - Accent3 3 2 2 2 5" xfId="12912"/>
    <cellStyle name="40% - Accent3 3 2 2 3" xfId="7716"/>
    <cellStyle name="40% - Accent3 3 2 2 3 2" xfId="15998"/>
    <cellStyle name="40% - Accent3 3 2 2 4" xfId="10210"/>
    <cellStyle name="40% - Accent3 3 2 2 4 2" xfId="18488"/>
    <cellStyle name="40% - Accent3 3 2 2 5" xfId="4585"/>
    <cellStyle name="40% - Accent3 3 2 2 6" xfId="12911"/>
    <cellStyle name="40% - Accent3 3 2 3" xfId="1637"/>
    <cellStyle name="40% - Accent3 3 2 3 2" xfId="1638"/>
    <cellStyle name="40% - Accent3 3 2 3 2 2" xfId="7719"/>
    <cellStyle name="40% - Accent3 3 2 3 2 2 2" xfId="16001"/>
    <cellStyle name="40% - Accent3 3 2 3 2 3" xfId="10213"/>
    <cellStyle name="40% - Accent3 3 2 3 2 3 2" xfId="18491"/>
    <cellStyle name="40% - Accent3 3 2 3 2 4" xfId="4588"/>
    <cellStyle name="40% - Accent3 3 2 3 2 5" xfId="12914"/>
    <cellStyle name="40% - Accent3 3 2 3 3" xfId="7718"/>
    <cellStyle name="40% - Accent3 3 2 3 3 2" xfId="16000"/>
    <cellStyle name="40% - Accent3 3 2 3 4" xfId="10212"/>
    <cellStyle name="40% - Accent3 3 2 3 4 2" xfId="18490"/>
    <cellStyle name="40% - Accent3 3 2 3 5" xfId="4587"/>
    <cellStyle name="40% - Accent3 3 2 3 6" xfId="12913"/>
    <cellStyle name="40% - Accent3 3 2 4" xfId="1639"/>
    <cellStyle name="40% - Accent3 3 2 4 2" xfId="7720"/>
    <cellStyle name="40% - Accent3 3 2 4 2 2" xfId="16002"/>
    <cellStyle name="40% - Accent3 3 2 4 3" xfId="10214"/>
    <cellStyle name="40% - Accent3 3 2 4 3 2" xfId="18492"/>
    <cellStyle name="40% - Accent3 3 2 4 4" xfId="4589"/>
    <cellStyle name="40% - Accent3 3 2 4 5" xfId="12915"/>
    <cellStyle name="40% - Accent3 3 2 5" xfId="1640"/>
    <cellStyle name="40% - Accent3 3 2 5 2" xfId="7721"/>
    <cellStyle name="40% - Accent3 3 2 5 2 2" xfId="16003"/>
    <cellStyle name="40% - Accent3 3 2 5 3" xfId="10215"/>
    <cellStyle name="40% - Accent3 3 2 5 3 2" xfId="18493"/>
    <cellStyle name="40% - Accent3 3 2 5 4" xfId="4590"/>
    <cellStyle name="40% - Accent3 3 2 5 5" xfId="12916"/>
    <cellStyle name="40% - Accent3 3 2 6" xfId="4591"/>
    <cellStyle name="40% - Accent3 3 2 6 2" xfId="12917"/>
    <cellStyle name="40% - Accent3 3 2 7" xfId="5865"/>
    <cellStyle name="40% - Accent3 3 2 7 2" xfId="14147"/>
    <cellStyle name="40% - Accent3 3 2 8" xfId="7715"/>
    <cellStyle name="40% - Accent3 3 2 8 2" xfId="15997"/>
    <cellStyle name="40% - Accent3 3 2 9" xfId="10209"/>
    <cellStyle name="40% - Accent3 3 2 9 2" xfId="18487"/>
    <cellStyle name="40% - Accent3 3 3" xfId="1641"/>
    <cellStyle name="40% - Accent3 3 3 10" xfId="4592"/>
    <cellStyle name="40% - Accent3 3 3 11" xfId="12918"/>
    <cellStyle name="40% - Accent3 3 3 2" xfId="1642"/>
    <cellStyle name="40% - Accent3 3 3 2 2" xfId="1643"/>
    <cellStyle name="40% - Accent3 3 3 2 2 2" xfId="7724"/>
    <cellStyle name="40% - Accent3 3 3 2 2 2 2" xfId="16006"/>
    <cellStyle name="40% - Accent3 3 3 2 2 3" xfId="10218"/>
    <cellStyle name="40% - Accent3 3 3 2 2 3 2" xfId="18496"/>
    <cellStyle name="40% - Accent3 3 3 2 2 4" xfId="4594"/>
    <cellStyle name="40% - Accent3 3 3 2 2 5" xfId="12920"/>
    <cellStyle name="40% - Accent3 3 3 2 3" xfId="7723"/>
    <cellStyle name="40% - Accent3 3 3 2 3 2" xfId="16005"/>
    <cellStyle name="40% - Accent3 3 3 2 4" xfId="10217"/>
    <cellStyle name="40% - Accent3 3 3 2 4 2" xfId="18495"/>
    <cellStyle name="40% - Accent3 3 3 2 5" xfId="4593"/>
    <cellStyle name="40% - Accent3 3 3 2 6" xfId="12919"/>
    <cellStyle name="40% - Accent3 3 3 3" xfId="1644"/>
    <cellStyle name="40% - Accent3 3 3 3 2" xfId="1645"/>
    <cellStyle name="40% - Accent3 3 3 3 2 2" xfId="7726"/>
    <cellStyle name="40% - Accent3 3 3 3 2 2 2" xfId="16008"/>
    <cellStyle name="40% - Accent3 3 3 3 2 3" xfId="10220"/>
    <cellStyle name="40% - Accent3 3 3 3 2 3 2" xfId="18498"/>
    <cellStyle name="40% - Accent3 3 3 3 2 4" xfId="4596"/>
    <cellStyle name="40% - Accent3 3 3 3 2 5" xfId="12922"/>
    <cellStyle name="40% - Accent3 3 3 3 3" xfId="7725"/>
    <cellStyle name="40% - Accent3 3 3 3 3 2" xfId="16007"/>
    <cellStyle name="40% - Accent3 3 3 3 4" xfId="10219"/>
    <cellStyle name="40% - Accent3 3 3 3 4 2" xfId="18497"/>
    <cellStyle name="40% - Accent3 3 3 3 5" xfId="4595"/>
    <cellStyle name="40% - Accent3 3 3 3 6" xfId="12921"/>
    <cellStyle name="40% - Accent3 3 3 4" xfId="1646"/>
    <cellStyle name="40% - Accent3 3 3 4 2" xfId="7727"/>
    <cellStyle name="40% - Accent3 3 3 4 2 2" xfId="16009"/>
    <cellStyle name="40% - Accent3 3 3 4 3" xfId="10221"/>
    <cellStyle name="40% - Accent3 3 3 4 3 2" xfId="18499"/>
    <cellStyle name="40% - Accent3 3 3 4 4" xfId="4597"/>
    <cellStyle name="40% - Accent3 3 3 4 5" xfId="12923"/>
    <cellStyle name="40% - Accent3 3 3 5" xfId="1647"/>
    <cellStyle name="40% - Accent3 3 3 5 2" xfId="7728"/>
    <cellStyle name="40% - Accent3 3 3 5 2 2" xfId="16010"/>
    <cellStyle name="40% - Accent3 3 3 5 3" xfId="10222"/>
    <cellStyle name="40% - Accent3 3 3 5 3 2" xfId="18500"/>
    <cellStyle name="40% - Accent3 3 3 5 4" xfId="4598"/>
    <cellStyle name="40% - Accent3 3 3 5 5" xfId="12924"/>
    <cellStyle name="40% - Accent3 3 3 6" xfId="4599"/>
    <cellStyle name="40% - Accent3 3 3 6 2" xfId="12925"/>
    <cellStyle name="40% - Accent3 3 3 7" xfId="5963"/>
    <cellStyle name="40% - Accent3 3 3 7 2" xfId="14245"/>
    <cellStyle name="40% - Accent3 3 3 8" xfId="7722"/>
    <cellStyle name="40% - Accent3 3 3 8 2" xfId="16004"/>
    <cellStyle name="40% - Accent3 3 3 9" xfId="10216"/>
    <cellStyle name="40% - Accent3 3 3 9 2" xfId="18494"/>
    <cellStyle name="40% - Accent3 3 4" xfId="1648"/>
    <cellStyle name="40% - Accent3 3 4 10" xfId="12926"/>
    <cellStyle name="40% - Accent3 3 4 2" xfId="1649"/>
    <cellStyle name="40% - Accent3 3 4 2 2" xfId="1650"/>
    <cellStyle name="40% - Accent3 3 4 2 2 2" xfId="7731"/>
    <cellStyle name="40% - Accent3 3 4 2 2 2 2" xfId="16013"/>
    <cellStyle name="40% - Accent3 3 4 2 2 3" xfId="10225"/>
    <cellStyle name="40% - Accent3 3 4 2 2 3 2" xfId="18503"/>
    <cellStyle name="40% - Accent3 3 4 2 2 4" xfId="4602"/>
    <cellStyle name="40% - Accent3 3 4 2 2 5" xfId="12928"/>
    <cellStyle name="40% - Accent3 3 4 2 3" xfId="7730"/>
    <cellStyle name="40% - Accent3 3 4 2 3 2" xfId="16012"/>
    <cellStyle name="40% - Accent3 3 4 2 4" xfId="10224"/>
    <cellStyle name="40% - Accent3 3 4 2 4 2" xfId="18502"/>
    <cellStyle name="40% - Accent3 3 4 2 5" xfId="4601"/>
    <cellStyle name="40% - Accent3 3 4 2 6" xfId="12927"/>
    <cellStyle name="40% - Accent3 3 4 3" xfId="1651"/>
    <cellStyle name="40% - Accent3 3 4 3 2" xfId="7732"/>
    <cellStyle name="40% - Accent3 3 4 3 2 2" xfId="16014"/>
    <cellStyle name="40% - Accent3 3 4 3 3" xfId="10226"/>
    <cellStyle name="40% - Accent3 3 4 3 3 2" xfId="18504"/>
    <cellStyle name="40% - Accent3 3 4 3 4" xfId="4603"/>
    <cellStyle name="40% - Accent3 3 4 3 5" xfId="12929"/>
    <cellStyle name="40% - Accent3 3 4 4" xfId="1652"/>
    <cellStyle name="40% - Accent3 3 4 4 2" xfId="7733"/>
    <cellStyle name="40% - Accent3 3 4 4 2 2" xfId="16015"/>
    <cellStyle name="40% - Accent3 3 4 4 3" xfId="10227"/>
    <cellStyle name="40% - Accent3 3 4 4 3 2" xfId="18505"/>
    <cellStyle name="40% - Accent3 3 4 4 4" xfId="4604"/>
    <cellStyle name="40% - Accent3 3 4 4 5" xfId="12930"/>
    <cellStyle name="40% - Accent3 3 4 5" xfId="4605"/>
    <cellStyle name="40% - Accent3 3 4 5 2" xfId="12931"/>
    <cellStyle name="40% - Accent3 3 4 6" xfId="5779"/>
    <cellStyle name="40% - Accent3 3 4 6 2" xfId="14061"/>
    <cellStyle name="40% - Accent3 3 4 7" xfId="7729"/>
    <cellStyle name="40% - Accent3 3 4 7 2" xfId="16011"/>
    <cellStyle name="40% - Accent3 3 4 8" xfId="10223"/>
    <cellStyle name="40% - Accent3 3 4 8 2" xfId="18501"/>
    <cellStyle name="40% - Accent3 3 4 9" xfId="4600"/>
    <cellStyle name="40% - Accent3 3 5" xfId="1653"/>
    <cellStyle name="40% - Accent3 3 5 2" xfId="1654"/>
    <cellStyle name="40% - Accent3 3 5 2 2" xfId="7735"/>
    <cellStyle name="40% - Accent3 3 5 2 2 2" xfId="16017"/>
    <cellStyle name="40% - Accent3 3 5 2 3" xfId="10229"/>
    <cellStyle name="40% - Accent3 3 5 2 3 2" xfId="18507"/>
    <cellStyle name="40% - Accent3 3 5 2 4" xfId="4607"/>
    <cellStyle name="40% - Accent3 3 5 2 5" xfId="12933"/>
    <cellStyle name="40% - Accent3 3 5 3" xfId="7734"/>
    <cellStyle name="40% - Accent3 3 5 3 2" xfId="16016"/>
    <cellStyle name="40% - Accent3 3 5 4" xfId="10228"/>
    <cellStyle name="40% - Accent3 3 5 4 2" xfId="18506"/>
    <cellStyle name="40% - Accent3 3 5 5" xfId="4606"/>
    <cellStyle name="40% - Accent3 3 5 6" xfId="12932"/>
    <cellStyle name="40% - Accent3 3 6" xfId="1655"/>
    <cellStyle name="40% - Accent3 3 6 2" xfId="1656"/>
    <cellStyle name="40% - Accent3 3 6 2 2" xfId="7737"/>
    <cellStyle name="40% - Accent3 3 6 2 2 2" xfId="16019"/>
    <cellStyle name="40% - Accent3 3 6 2 3" xfId="10231"/>
    <cellStyle name="40% - Accent3 3 6 2 3 2" xfId="18509"/>
    <cellStyle name="40% - Accent3 3 6 2 4" xfId="4609"/>
    <cellStyle name="40% - Accent3 3 6 2 5" xfId="12935"/>
    <cellStyle name="40% - Accent3 3 6 3" xfId="7736"/>
    <cellStyle name="40% - Accent3 3 6 3 2" xfId="16018"/>
    <cellStyle name="40% - Accent3 3 6 4" xfId="10230"/>
    <cellStyle name="40% - Accent3 3 6 4 2" xfId="18508"/>
    <cellStyle name="40% - Accent3 3 6 5" xfId="4608"/>
    <cellStyle name="40% - Accent3 3 6 6" xfId="12934"/>
    <cellStyle name="40% - Accent3 3 7" xfId="1657"/>
    <cellStyle name="40% - Accent3 3 7 2" xfId="7738"/>
    <cellStyle name="40% - Accent3 3 7 2 2" xfId="16020"/>
    <cellStyle name="40% - Accent3 3 7 3" xfId="10232"/>
    <cellStyle name="40% - Accent3 3 7 3 2" xfId="18510"/>
    <cellStyle name="40% - Accent3 3 7 4" xfId="4610"/>
    <cellStyle name="40% - Accent3 3 7 5" xfId="12936"/>
    <cellStyle name="40% - Accent3 3 8" xfId="1658"/>
    <cellStyle name="40% - Accent3 3 8 2" xfId="7739"/>
    <cellStyle name="40% - Accent3 3 8 2 2" xfId="16021"/>
    <cellStyle name="40% - Accent3 3 8 3" xfId="10233"/>
    <cellStyle name="40% - Accent3 3 8 3 2" xfId="18511"/>
    <cellStyle name="40% - Accent3 3 8 4" xfId="4611"/>
    <cellStyle name="40% - Accent3 3 8 5" xfId="12937"/>
    <cellStyle name="40% - Accent3 3 9" xfId="4612"/>
    <cellStyle name="40% - Accent3 3 9 2" xfId="12938"/>
    <cellStyle name="40% - Accent3 4" xfId="1659"/>
    <cellStyle name="40% - Accent3 4 10" xfId="5691"/>
    <cellStyle name="40% - Accent3 4 10 2" xfId="13977"/>
    <cellStyle name="40% - Accent3 4 11" xfId="7740"/>
    <cellStyle name="40% - Accent3 4 11 2" xfId="16022"/>
    <cellStyle name="40% - Accent3 4 12" xfId="10234"/>
    <cellStyle name="40% - Accent3 4 12 2" xfId="18512"/>
    <cellStyle name="40% - Accent3 4 13" xfId="4613"/>
    <cellStyle name="40% - Accent3 4 14" xfId="12939"/>
    <cellStyle name="40% - Accent3 4 2" xfId="1660"/>
    <cellStyle name="40% - Accent3 4 2 10" xfId="4614"/>
    <cellStyle name="40% - Accent3 4 2 11" xfId="12940"/>
    <cellStyle name="40% - Accent3 4 2 2" xfId="1661"/>
    <cellStyle name="40% - Accent3 4 2 2 2" xfId="1662"/>
    <cellStyle name="40% - Accent3 4 2 2 2 2" xfId="7743"/>
    <cellStyle name="40% - Accent3 4 2 2 2 2 2" xfId="16025"/>
    <cellStyle name="40% - Accent3 4 2 2 2 3" xfId="10237"/>
    <cellStyle name="40% - Accent3 4 2 2 2 3 2" xfId="18515"/>
    <cellStyle name="40% - Accent3 4 2 2 2 4" xfId="4616"/>
    <cellStyle name="40% - Accent3 4 2 2 2 5" xfId="12942"/>
    <cellStyle name="40% - Accent3 4 2 2 3" xfId="7742"/>
    <cellStyle name="40% - Accent3 4 2 2 3 2" xfId="16024"/>
    <cellStyle name="40% - Accent3 4 2 2 4" xfId="10236"/>
    <cellStyle name="40% - Accent3 4 2 2 4 2" xfId="18514"/>
    <cellStyle name="40% - Accent3 4 2 2 5" xfId="4615"/>
    <cellStyle name="40% - Accent3 4 2 2 6" xfId="12941"/>
    <cellStyle name="40% - Accent3 4 2 3" xfId="1663"/>
    <cellStyle name="40% - Accent3 4 2 3 2" xfId="1664"/>
    <cellStyle name="40% - Accent3 4 2 3 2 2" xfId="7745"/>
    <cellStyle name="40% - Accent3 4 2 3 2 2 2" xfId="16027"/>
    <cellStyle name="40% - Accent3 4 2 3 2 3" xfId="10239"/>
    <cellStyle name="40% - Accent3 4 2 3 2 3 2" xfId="18517"/>
    <cellStyle name="40% - Accent3 4 2 3 2 4" xfId="4618"/>
    <cellStyle name="40% - Accent3 4 2 3 2 5" xfId="12944"/>
    <cellStyle name="40% - Accent3 4 2 3 3" xfId="7744"/>
    <cellStyle name="40% - Accent3 4 2 3 3 2" xfId="16026"/>
    <cellStyle name="40% - Accent3 4 2 3 4" xfId="10238"/>
    <cellStyle name="40% - Accent3 4 2 3 4 2" xfId="18516"/>
    <cellStyle name="40% - Accent3 4 2 3 5" xfId="4617"/>
    <cellStyle name="40% - Accent3 4 2 3 6" xfId="12943"/>
    <cellStyle name="40% - Accent3 4 2 4" xfId="1665"/>
    <cellStyle name="40% - Accent3 4 2 4 2" xfId="7746"/>
    <cellStyle name="40% - Accent3 4 2 4 2 2" xfId="16028"/>
    <cellStyle name="40% - Accent3 4 2 4 3" xfId="10240"/>
    <cellStyle name="40% - Accent3 4 2 4 3 2" xfId="18518"/>
    <cellStyle name="40% - Accent3 4 2 4 4" xfId="4619"/>
    <cellStyle name="40% - Accent3 4 2 4 5" xfId="12945"/>
    <cellStyle name="40% - Accent3 4 2 5" xfId="1666"/>
    <cellStyle name="40% - Accent3 4 2 5 2" xfId="7747"/>
    <cellStyle name="40% - Accent3 4 2 5 2 2" xfId="16029"/>
    <cellStyle name="40% - Accent3 4 2 5 3" xfId="10241"/>
    <cellStyle name="40% - Accent3 4 2 5 3 2" xfId="18519"/>
    <cellStyle name="40% - Accent3 4 2 5 4" xfId="4620"/>
    <cellStyle name="40% - Accent3 4 2 5 5" xfId="12946"/>
    <cellStyle name="40% - Accent3 4 2 6" xfId="4621"/>
    <cellStyle name="40% - Accent3 4 2 6 2" xfId="12947"/>
    <cellStyle name="40% - Accent3 4 2 7" xfId="5893"/>
    <cellStyle name="40% - Accent3 4 2 7 2" xfId="14175"/>
    <cellStyle name="40% - Accent3 4 2 8" xfId="7741"/>
    <cellStyle name="40% - Accent3 4 2 8 2" xfId="16023"/>
    <cellStyle name="40% - Accent3 4 2 9" xfId="10235"/>
    <cellStyle name="40% - Accent3 4 2 9 2" xfId="18513"/>
    <cellStyle name="40% - Accent3 4 3" xfId="1667"/>
    <cellStyle name="40% - Accent3 4 3 10" xfId="4622"/>
    <cellStyle name="40% - Accent3 4 3 11" xfId="12948"/>
    <cellStyle name="40% - Accent3 4 3 2" xfId="1668"/>
    <cellStyle name="40% - Accent3 4 3 2 2" xfId="1669"/>
    <cellStyle name="40% - Accent3 4 3 2 2 2" xfId="7750"/>
    <cellStyle name="40% - Accent3 4 3 2 2 2 2" xfId="16032"/>
    <cellStyle name="40% - Accent3 4 3 2 2 3" xfId="10244"/>
    <cellStyle name="40% - Accent3 4 3 2 2 3 2" xfId="18522"/>
    <cellStyle name="40% - Accent3 4 3 2 2 4" xfId="4624"/>
    <cellStyle name="40% - Accent3 4 3 2 2 5" xfId="12950"/>
    <cellStyle name="40% - Accent3 4 3 2 3" xfId="7749"/>
    <cellStyle name="40% - Accent3 4 3 2 3 2" xfId="16031"/>
    <cellStyle name="40% - Accent3 4 3 2 4" xfId="10243"/>
    <cellStyle name="40% - Accent3 4 3 2 4 2" xfId="18521"/>
    <cellStyle name="40% - Accent3 4 3 2 5" xfId="4623"/>
    <cellStyle name="40% - Accent3 4 3 2 6" xfId="12949"/>
    <cellStyle name="40% - Accent3 4 3 3" xfId="1670"/>
    <cellStyle name="40% - Accent3 4 3 3 2" xfId="1671"/>
    <cellStyle name="40% - Accent3 4 3 3 2 2" xfId="7752"/>
    <cellStyle name="40% - Accent3 4 3 3 2 2 2" xfId="16034"/>
    <cellStyle name="40% - Accent3 4 3 3 2 3" xfId="10246"/>
    <cellStyle name="40% - Accent3 4 3 3 2 3 2" xfId="18524"/>
    <cellStyle name="40% - Accent3 4 3 3 2 4" xfId="4626"/>
    <cellStyle name="40% - Accent3 4 3 3 2 5" xfId="12952"/>
    <cellStyle name="40% - Accent3 4 3 3 3" xfId="7751"/>
    <cellStyle name="40% - Accent3 4 3 3 3 2" xfId="16033"/>
    <cellStyle name="40% - Accent3 4 3 3 4" xfId="10245"/>
    <cellStyle name="40% - Accent3 4 3 3 4 2" xfId="18523"/>
    <cellStyle name="40% - Accent3 4 3 3 5" xfId="4625"/>
    <cellStyle name="40% - Accent3 4 3 3 6" xfId="12951"/>
    <cellStyle name="40% - Accent3 4 3 4" xfId="1672"/>
    <cellStyle name="40% - Accent3 4 3 4 2" xfId="7753"/>
    <cellStyle name="40% - Accent3 4 3 4 2 2" xfId="16035"/>
    <cellStyle name="40% - Accent3 4 3 4 3" xfId="10247"/>
    <cellStyle name="40% - Accent3 4 3 4 3 2" xfId="18525"/>
    <cellStyle name="40% - Accent3 4 3 4 4" xfId="4627"/>
    <cellStyle name="40% - Accent3 4 3 4 5" xfId="12953"/>
    <cellStyle name="40% - Accent3 4 3 5" xfId="1673"/>
    <cellStyle name="40% - Accent3 4 3 5 2" xfId="7754"/>
    <cellStyle name="40% - Accent3 4 3 5 2 2" xfId="16036"/>
    <cellStyle name="40% - Accent3 4 3 5 3" xfId="10248"/>
    <cellStyle name="40% - Accent3 4 3 5 3 2" xfId="18526"/>
    <cellStyle name="40% - Accent3 4 3 5 4" xfId="4628"/>
    <cellStyle name="40% - Accent3 4 3 5 5" xfId="12954"/>
    <cellStyle name="40% - Accent3 4 3 6" xfId="4629"/>
    <cellStyle name="40% - Accent3 4 3 6 2" xfId="12955"/>
    <cellStyle name="40% - Accent3 4 3 7" xfId="5991"/>
    <cellStyle name="40% - Accent3 4 3 7 2" xfId="14273"/>
    <cellStyle name="40% - Accent3 4 3 8" xfId="7748"/>
    <cellStyle name="40% - Accent3 4 3 8 2" xfId="16030"/>
    <cellStyle name="40% - Accent3 4 3 9" xfId="10242"/>
    <cellStyle name="40% - Accent3 4 3 9 2" xfId="18520"/>
    <cellStyle name="40% - Accent3 4 4" xfId="1674"/>
    <cellStyle name="40% - Accent3 4 4 10" xfId="12956"/>
    <cellStyle name="40% - Accent3 4 4 2" xfId="1675"/>
    <cellStyle name="40% - Accent3 4 4 2 2" xfId="1676"/>
    <cellStyle name="40% - Accent3 4 4 2 2 2" xfId="7757"/>
    <cellStyle name="40% - Accent3 4 4 2 2 2 2" xfId="16039"/>
    <cellStyle name="40% - Accent3 4 4 2 2 3" xfId="10251"/>
    <cellStyle name="40% - Accent3 4 4 2 2 3 2" xfId="18529"/>
    <cellStyle name="40% - Accent3 4 4 2 2 4" xfId="4632"/>
    <cellStyle name="40% - Accent3 4 4 2 2 5" xfId="12958"/>
    <cellStyle name="40% - Accent3 4 4 2 3" xfId="7756"/>
    <cellStyle name="40% - Accent3 4 4 2 3 2" xfId="16038"/>
    <cellStyle name="40% - Accent3 4 4 2 4" xfId="10250"/>
    <cellStyle name="40% - Accent3 4 4 2 4 2" xfId="18528"/>
    <cellStyle name="40% - Accent3 4 4 2 5" xfId="4631"/>
    <cellStyle name="40% - Accent3 4 4 2 6" xfId="12957"/>
    <cellStyle name="40% - Accent3 4 4 3" xfId="1677"/>
    <cellStyle name="40% - Accent3 4 4 3 2" xfId="7758"/>
    <cellStyle name="40% - Accent3 4 4 3 2 2" xfId="16040"/>
    <cellStyle name="40% - Accent3 4 4 3 3" xfId="10252"/>
    <cellStyle name="40% - Accent3 4 4 3 3 2" xfId="18530"/>
    <cellStyle name="40% - Accent3 4 4 3 4" xfId="4633"/>
    <cellStyle name="40% - Accent3 4 4 3 5" xfId="12959"/>
    <cellStyle name="40% - Accent3 4 4 4" xfId="1678"/>
    <cellStyle name="40% - Accent3 4 4 4 2" xfId="7759"/>
    <cellStyle name="40% - Accent3 4 4 4 2 2" xfId="16041"/>
    <cellStyle name="40% - Accent3 4 4 4 3" xfId="10253"/>
    <cellStyle name="40% - Accent3 4 4 4 3 2" xfId="18531"/>
    <cellStyle name="40% - Accent3 4 4 4 4" xfId="4634"/>
    <cellStyle name="40% - Accent3 4 4 4 5" xfId="12960"/>
    <cellStyle name="40% - Accent3 4 4 5" xfId="4635"/>
    <cellStyle name="40% - Accent3 4 4 5 2" xfId="12961"/>
    <cellStyle name="40% - Accent3 4 4 6" xfId="5807"/>
    <cellStyle name="40% - Accent3 4 4 6 2" xfId="14089"/>
    <cellStyle name="40% - Accent3 4 4 7" xfId="7755"/>
    <cellStyle name="40% - Accent3 4 4 7 2" xfId="16037"/>
    <cellStyle name="40% - Accent3 4 4 8" xfId="10249"/>
    <cellStyle name="40% - Accent3 4 4 8 2" xfId="18527"/>
    <cellStyle name="40% - Accent3 4 4 9" xfId="4630"/>
    <cellStyle name="40% - Accent3 4 5" xfId="1679"/>
    <cellStyle name="40% - Accent3 4 5 2" xfId="1680"/>
    <cellStyle name="40% - Accent3 4 5 2 2" xfId="7761"/>
    <cellStyle name="40% - Accent3 4 5 2 2 2" xfId="16043"/>
    <cellStyle name="40% - Accent3 4 5 2 3" xfId="10255"/>
    <cellStyle name="40% - Accent3 4 5 2 3 2" xfId="18533"/>
    <cellStyle name="40% - Accent3 4 5 2 4" xfId="4637"/>
    <cellStyle name="40% - Accent3 4 5 2 5" xfId="12963"/>
    <cellStyle name="40% - Accent3 4 5 3" xfId="7760"/>
    <cellStyle name="40% - Accent3 4 5 3 2" xfId="16042"/>
    <cellStyle name="40% - Accent3 4 5 4" xfId="10254"/>
    <cellStyle name="40% - Accent3 4 5 4 2" xfId="18532"/>
    <cellStyle name="40% - Accent3 4 5 5" xfId="4636"/>
    <cellStyle name="40% - Accent3 4 5 6" xfId="12962"/>
    <cellStyle name="40% - Accent3 4 6" xfId="1681"/>
    <cellStyle name="40% - Accent3 4 6 2" xfId="1682"/>
    <cellStyle name="40% - Accent3 4 6 2 2" xfId="7763"/>
    <cellStyle name="40% - Accent3 4 6 2 2 2" xfId="16045"/>
    <cellStyle name="40% - Accent3 4 6 2 3" xfId="10257"/>
    <cellStyle name="40% - Accent3 4 6 2 3 2" xfId="18535"/>
    <cellStyle name="40% - Accent3 4 6 2 4" xfId="4639"/>
    <cellStyle name="40% - Accent3 4 6 2 5" xfId="12965"/>
    <cellStyle name="40% - Accent3 4 6 3" xfId="7762"/>
    <cellStyle name="40% - Accent3 4 6 3 2" xfId="16044"/>
    <cellStyle name="40% - Accent3 4 6 4" xfId="10256"/>
    <cellStyle name="40% - Accent3 4 6 4 2" xfId="18534"/>
    <cellStyle name="40% - Accent3 4 6 5" xfId="4638"/>
    <cellStyle name="40% - Accent3 4 6 6" xfId="12964"/>
    <cellStyle name="40% - Accent3 4 7" xfId="1683"/>
    <cellStyle name="40% - Accent3 4 7 2" xfId="7764"/>
    <cellStyle name="40% - Accent3 4 7 2 2" xfId="16046"/>
    <cellStyle name="40% - Accent3 4 7 3" xfId="10258"/>
    <cellStyle name="40% - Accent3 4 7 3 2" xfId="18536"/>
    <cellStyle name="40% - Accent3 4 7 4" xfId="4640"/>
    <cellStyle name="40% - Accent3 4 7 5" xfId="12966"/>
    <cellStyle name="40% - Accent3 4 8" xfId="1684"/>
    <cellStyle name="40% - Accent3 4 8 2" xfId="7765"/>
    <cellStyle name="40% - Accent3 4 8 2 2" xfId="16047"/>
    <cellStyle name="40% - Accent3 4 8 3" xfId="10259"/>
    <cellStyle name="40% - Accent3 4 8 3 2" xfId="18537"/>
    <cellStyle name="40% - Accent3 4 8 4" xfId="4641"/>
    <cellStyle name="40% - Accent3 4 8 5" xfId="12967"/>
    <cellStyle name="40% - Accent3 4 9" xfId="4642"/>
    <cellStyle name="40% - Accent3 4 9 2" xfId="12968"/>
    <cellStyle name="40% - Accent3 5" xfId="1685"/>
    <cellStyle name="40% - Accent3 5 10" xfId="4643"/>
    <cellStyle name="40% - Accent3 5 11" xfId="12969"/>
    <cellStyle name="40% - Accent3 5 2" xfId="1686"/>
    <cellStyle name="40% - Accent3 5 2 2" xfId="1687"/>
    <cellStyle name="40% - Accent3 5 2 2 2" xfId="7768"/>
    <cellStyle name="40% - Accent3 5 2 2 2 2" xfId="16050"/>
    <cellStyle name="40% - Accent3 5 2 2 3" xfId="10262"/>
    <cellStyle name="40% - Accent3 5 2 2 3 2" xfId="18540"/>
    <cellStyle name="40% - Accent3 5 2 2 4" xfId="4645"/>
    <cellStyle name="40% - Accent3 5 2 2 5" xfId="12971"/>
    <cellStyle name="40% - Accent3 5 2 3" xfId="7767"/>
    <cellStyle name="40% - Accent3 5 2 3 2" xfId="16049"/>
    <cellStyle name="40% - Accent3 5 2 4" xfId="10261"/>
    <cellStyle name="40% - Accent3 5 2 4 2" xfId="18539"/>
    <cellStyle name="40% - Accent3 5 2 5" xfId="4644"/>
    <cellStyle name="40% - Accent3 5 2 6" xfId="12970"/>
    <cellStyle name="40% - Accent3 5 3" xfId="1688"/>
    <cellStyle name="40% - Accent3 5 3 2" xfId="1689"/>
    <cellStyle name="40% - Accent3 5 3 2 2" xfId="7770"/>
    <cellStyle name="40% - Accent3 5 3 2 2 2" xfId="16052"/>
    <cellStyle name="40% - Accent3 5 3 2 3" xfId="10264"/>
    <cellStyle name="40% - Accent3 5 3 2 3 2" xfId="18542"/>
    <cellStyle name="40% - Accent3 5 3 2 4" xfId="4647"/>
    <cellStyle name="40% - Accent3 5 3 2 5" xfId="12973"/>
    <cellStyle name="40% - Accent3 5 3 3" xfId="7769"/>
    <cellStyle name="40% - Accent3 5 3 3 2" xfId="16051"/>
    <cellStyle name="40% - Accent3 5 3 4" xfId="10263"/>
    <cellStyle name="40% - Accent3 5 3 4 2" xfId="18541"/>
    <cellStyle name="40% - Accent3 5 3 5" xfId="4646"/>
    <cellStyle name="40% - Accent3 5 3 6" xfId="12972"/>
    <cellStyle name="40% - Accent3 5 4" xfId="1690"/>
    <cellStyle name="40% - Accent3 5 4 2" xfId="7771"/>
    <cellStyle name="40% - Accent3 5 4 2 2" xfId="16053"/>
    <cellStyle name="40% - Accent3 5 4 3" xfId="10265"/>
    <cellStyle name="40% - Accent3 5 4 3 2" xfId="18543"/>
    <cellStyle name="40% - Accent3 5 4 4" xfId="4648"/>
    <cellStyle name="40% - Accent3 5 4 5" xfId="12974"/>
    <cellStyle name="40% - Accent3 5 5" xfId="1691"/>
    <cellStyle name="40% - Accent3 5 5 2" xfId="7772"/>
    <cellStyle name="40% - Accent3 5 5 2 2" xfId="16054"/>
    <cellStyle name="40% - Accent3 5 5 3" xfId="10266"/>
    <cellStyle name="40% - Accent3 5 5 3 2" xfId="18544"/>
    <cellStyle name="40% - Accent3 5 5 4" xfId="4649"/>
    <cellStyle name="40% - Accent3 5 5 5" xfId="12975"/>
    <cellStyle name="40% - Accent3 5 6" xfId="4650"/>
    <cellStyle name="40% - Accent3 5 6 2" xfId="12976"/>
    <cellStyle name="40% - Accent3 5 7" xfId="5745"/>
    <cellStyle name="40% - Accent3 5 7 2" xfId="14030"/>
    <cellStyle name="40% - Accent3 5 8" xfId="7766"/>
    <cellStyle name="40% - Accent3 5 8 2" xfId="16048"/>
    <cellStyle name="40% - Accent3 5 9" xfId="10260"/>
    <cellStyle name="40% - Accent3 5 9 2" xfId="18538"/>
    <cellStyle name="40% - Accent3 6" xfId="1692"/>
    <cellStyle name="40% - Accent3 6 10" xfId="4651"/>
    <cellStyle name="40% - Accent3 6 11" xfId="12977"/>
    <cellStyle name="40% - Accent3 6 2" xfId="1693"/>
    <cellStyle name="40% - Accent3 6 2 2" xfId="1694"/>
    <cellStyle name="40% - Accent3 6 2 2 2" xfId="7775"/>
    <cellStyle name="40% - Accent3 6 2 2 2 2" xfId="16057"/>
    <cellStyle name="40% - Accent3 6 2 2 3" xfId="10269"/>
    <cellStyle name="40% - Accent3 6 2 2 3 2" xfId="18547"/>
    <cellStyle name="40% - Accent3 6 2 2 4" xfId="4653"/>
    <cellStyle name="40% - Accent3 6 2 2 5" xfId="12979"/>
    <cellStyle name="40% - Accent3 6 2 3" xfId="7774"/>
    <cellStyle name="40% - Accent3 6 2 3 2" xfId="16056"/>
    <cellStyle name="40% - Accent3 6 2 4" xfId="10268"/>
    <cellStyle name="40% - Accent3 6 2 4 2" xfId="18546"/>
    <cellStyle name="40% - Accent3 6 2 5" xfId="4652"/>
    <cellStyle name="40% - Accent3 6 2 6" xfId="12978"/>
    <cellStyle name="40% - Accent3 6 3" xfId="1695"/>
    <cellStyle name="40% - Accent3 6 3 2" xfId="1696"/>
    <cellStyle name="40% - Accent3 6 3 2 2" xfId="7777"/>
    <cellStyle name="40% - Accent3 6 3 2 2 2" xfId="16059"/>
    <cellStyle name="40% - Accent3 6 3 2 3" xfId="10271"/>
    <cellStyle name="40% - Accent3 6 3 2 3 2" xfId="18549"/>
    <cellStyle name="40% - Accent3 6 3 2 4" xfId="4655"/>
    <cellStyle name="40% - Accent3 6 3 2 5" xfId="12981"/>
    <cellStyle name="40% - Accent3 6 3 3" xfId="7776"/>
    <cellStyle name="40% - Accent3 6 3 3 2" xfId="16058"/>
    <cellStyle name="40% - Accent3 6 3 4" xfId="10270"/>
    <cellStyle name="40% - Accent3 6 3 4 2" xfId="18548"/>
    <cellStyle name="40% - Accent3 6 3 5" xfId="4654"/>
    <cellStyle name="40% - Accent3 6 3 6" xfId="12980"/>
    <cellStyle name="40% - Accent3 6 4" xfId="1697"/>
    <cellStyle name="40% - Accent3 6 4 2" xfId="7778"/>
    <cellStyle name="40% - Accent3 6 4 2 2" xfId="16060"/>
    <cellStyle name="40% - Accent3 6 4 3" xfId="10272"/>
    <cellStyle name="40% - Accent3 6 4 3 2" xfId="18550"/>
    <cellStyle name="40% - Accent3 6 4 4" xfId="4656"/>
    <cellStyle name="40% - Accent3 6 4 5" xfId="12982"/>
    <cellStyle name="40% - Accent3 6 5" xfId="1698"/>
    <cellStyle name="40% - Accent3 6 5 2" xfId="7779"/>
    <cellStyle name="40% - Accent3 6 5 2 2" xfId="16061"/>
    <cellStyle name="40% - Accent3 6 5 3" xfId="10273"/>
    <cellStyle name="40% - Accent3 6 5 3 2" xfId="18551"/>
    <cellStyle name="40% - Accent3 6 5 4" xfId="4657"/>
    <cellStyle name="40% - Accent3 6 5 5" xfId="12983"/>
    <cellStyle name="40% - Accent3 6 6" xfId="4658"/>
    <cellStyle name="40% - Accent3 6 6 2" xfId="12984"/>
    <cellStyle name="40% - Accent3 6 7" xfId="5834"/>
    <cellStyle name="40% - Accent3 6 7 2" xfId="14116"/>
    <cellStyle name="40% - Accent3 6 8" xfId="7773"/>
    <cellStyle name="40% - Accent3 6 8 2" xfId="16055"/>
    <cellStyle name="40% - Accent3 6 9" xfId="10267"/>
    <cellStyle name="40% - Accent3 6 9 2" xfId="18545"/>
    <cellStyle name="40% - Accent3 7" xfId="1699"/>
    <cellStyle name="40% - Accent3 7 10" xfId="4659"/>
    <cellStyle name="40% - Accent3 7 11" xfId="12985"/>
    <cellStyle name="40% - Accent3 7 2" xfId="1700"/>
    <cellStyle name="40% - Accent3 7 2 2" xfId="1701"/>
    <cellStyle name="40% - Accent3 7 2 2 2" xfId="7782"/>
    <cellStyle name="40% - Accent3 7 2 2 2 2" xfId="16064"/>
    <cellStyle name="40% - Accent3 7 2 2 3" xfId="10276"/>
    <cellStyle name="40% - Accent3 7 2 2 3 2" xfId="18554"/>
    <cellStyle name="40% - Accent3 7 2 2 4" xfId="4661"/>
    <cellStyle name="40% - Accent3 7 2 2 5" xfId="12987"/>
    <cellStyle name="40% - Accent3 7 2 3" xfId="7781"/>
    <cellStyle name="40% - Accent3 7 2 3 2" xfId="16063"/>
    <cellStyle name="40% - Accent3 7 2 4" xfId="10275"/>
    <cellStyle name="40% - Accent3 7 2 4 2" xfId="18553"/>
    <cellStyle name="40% - Accent3 7 2 5" xfId="4660"/>
    <cellStyle name="40% - Accent3 7 2 6" xfId="12986"/>
    <cellStyle name="40% - Accent3 7 3" xfId="1702"/>
    <cellStyle name="40% - Accent3 7 3 2" xfId="1703"/>
    <cellStyle name="40% - Accent3 7 3 2 2" xfId="7784"/>
    <cellStyle name="40% - Accent3 7 3 2 2 2" xfId="16066"/>
    <cellStyle name="40% - Accent3 7 3 2 3" xfId="10278"/>
    <cellStyle name="40% - Accent3 7 3 2 3 2" xfId="18556"/>
    <cellStyle name="40% - Accent3 7 3 2 4" xfId="4663"/>
    <cellStyle name="40% - Accent3 7 3 2 5" xfId="12989"/>
    <cellStyle name="40% - Accent3 7 3 3" xfId="7783"/>
    <cellStyle name="40% - Accent3 7 3 3 2" xfId="16065"/>
    <cellStyle name="40% - Accent3 7 3 4" xfId="10277"/>
    <cellStyle name="40% - Accent3 7 3 4 2" xfId="18555"/>
    <cellStyle name="40% - Accent3 7 3 5" xfId="4662"/>
    <cellStyle name="40% - Accent3 7 3 6" xfId="12988"/>
    <cellStyle name="40% - Accent3 7 4" xfId="1704"/>
    <cellStyle name="40% - Accent3 7 4 2" xfId="7785"/>
    <cellStyle name="40% - Accent3 7 4 2 2" xfId="16067"/>
    <cellStyle name="40% - Accent3 7 4 3" xfId="10279"/>
    <cellStyle name="40% - Accent3 7 4 3 2" xfId="18557"/>
    <cellStyle name="40% - Accent3 7 4 4" xfId="4664"/>
    <cellStyle name="40% - Accent3 7 4 5" xfId="12990"/>
    <cellStyle name="40% - Accent3 7 5" xfId="1705"/>
    <cellStyle name="40% - Accent3 7 5 2" xfId="7786"/>
    <cellStyle name="40% - Accent3 7 5 2 2" xfId="16068"/>
    <cellStyle name="40% - Accent3 7 5 3" xfId="10280"/>
    <cellStyle name="40% - Accent3 7 5 3 2" xfId="18558"/>
    <cellStyle name="40% - Accent3 7 5 4" xfId="4665"/>
    <cellStyle name="40% - Accent3 7 5 5" xfId="12991"/>
    <cellStyle name="40% - Accent3 7 6" xfId="4666"/>
    <cellStyle name="40% - Accent3 7 6 2" xfId="12992"/>
    <cellStyle name="40% - Accent3 7 7" xfId="5920"/>
    <cellStyle name="40% - Accent3 7 7 2" xfId="14202"/>
    <cellStyle name="40% - Accent3 7 8" xfId="7780"/>
    <cellStyle name="40% - Accent3 7 8 2" xfId="16062"/>
    <cellStyle name="40% - Accent3 7 9" xfId="10274"/>
    <cellStyle name="40% - Accent3 7 9 2" xfId="18552"/>
    <cellStyle name="40% - Accent3 8" xfId="1706"/>
    <cellStyle name="40% - Accent3 8 10" xfId="4667"/>
    <cellStyle name="40% - Accent3 8 11" xfId="12993"/>
    <cellStyle name="40% - Accent3 8 2" xfId="1707"/>
    <cellStyle name="40% - Accent3 8 2 2" xfId="1708"/>
    <cellStyle name="40% - Accent3 8 2 2 2" xfId="7789"/>
    <cellStyle name="40% - Accent3 8 2 2 2 2" xfId="16071"/>
    <cellStyle name="40% - Accent3 8 2 2 3" xfId="10283"/>
    <cellStyle name="40% - Accent3 8 2 2 3 2" xfId="18561"/>
    <cellStyle name="40% - Accent3 8 2 2 4" xfId="4669"/>
    <cellStyle name="40% - Accent3 8 2 2 5" xfId="12995"/>
    <cellStyle name="40% - Accent3 8 2 3" xfId="7788"/>
    <cellStyle name="40% - Accent3 8 2 3 2" xfId="16070"/>
    <cellStyle name="40% - Accent3 8 2 4" xfId="10282"/>
    <cellStyle name="40% - Accent3 8 2 4 2" xfId="18560"/>
    <cellStyle name="40% - Accent3 8 2 5" xfId="4668"/>
    <cellStyle name="40% - Accent3 8 2 6" xfId="12994"/>
    <cellStyle name="40% - Accent3 8 3" xfId="1709"/>
    <cellStyle name="40% - Accent3 8 3 2" xfId="1710"/>
    <cellStyle name="40% - Accent3 8 3 2 2" xfId="7791"/>
    <cellStyle name="40% - Accent3 8 3 2 2 2" xfId="16073"/>
    <cellStyle name="40% - Accent3 8 3 2 3" xfId="10285"/>
    <cellStyle name="40% - Accent3 8 3 2 3 2" xfId="18563"/>
    <cellStyle name="40% - Accent3 8 3 2 4" xfId="4671"/>
    <cellStyle name="40% - Accent3 8 3 2 5" xfId="12997"/>
    <cellStyle name="40% - Accent3 8 3 3" xfId="7790"/>
    <cellStyle name="40% - Accent3 8 3 3 2" xfId="16072"/>
    <cellStyle name="40% - Accent3 8 3 4" xfId="10284"/>
    <cellStyle name="40% - Accent3 8 3 4 2" xfId="18562"/>
    <cellStyle name="40% - Accent3 8 3 5" xfId="4670"/>
    <cellStyle name="40% - Accent3 8 3 6" xfId="12996"/>
    <cellStyle name="40% - Accent3 8 4" xfId="1711"/>
    <cellStyle name="40% - Accent3 8 4 2" xfId="7792"/>
    <cellStyle name="40% - Accent3 8 4 2 2" xfId="16074"/>
    <cellStyle name="40% - Accent3 8 4 3" xfId="10286"/>
    <cellStyle name="40% - Accent3 8 4 3 2" xfId="18564"/>
    <cellStyle name="40% - Accent3 8 4 4" xfId="4672"/>
    <cellStyle name="40% - Accent3 8 4 5" xfId="12998"/>
    <cellStyle name="40% - Accent3 8 5" xfId="1712"/>
    <cellStyle name="40% - Accent3 8 5 2" xfId="7793"/>
    <cellStyle name="40% - Accent3 8 5 2 2" xfId="16075"/>
    <cellStyle name="40% - Accent3 8 5 3" xfId="10287"/>
    <cellStyle name="40% - Accent3 8 5 3 2" xfId="18565"/>
    <cellStyle name="40% - Accent3 8 5 4" xfId="4673"/>
    <cellStyle name="40% - Accent3 8 5 5" xfId="12999"/>
    <cellStyle name="40% - Accent3 8 6" xfId="4674"/>
    <cellStyle name="40% - Accent3 8 6 2" xfId="13000"/>
    <cellStyle name="40% - Accent3 8 7" xfId="5932"/>
    <cellStyle name="40% - Accent3 8 7 2" xfId="14214"/>
    <cellStyle name="40% - Accent3 8 8" xfId="7787"/>
    <cellStyle name="40% - Accent3 8 8 2" xfId="16069"/>
    <cellStyle name="40% - Accent3 8 9" xfId="10281"/>
    <cellStyle name="40% - Accent3 8 9 2" xfId="18559"/>
    <cellStyle name="40% - Accent3 9" xfId="1713"/>
    <cellStyle name="40% - Accent3 9 10" xfId="4675"/>
    <cellStyle name="40% - Accent3 9 11" xfId="13001"/>
    <cellStyle name="40% - Accent3 9 2" xfId="1714"/>
    <cellStyle name="40% - Accent3 9 2 2" xfId="1715"/>
    <cellStyle name="40% - Accent3 9 2 2 2" xfId="7796"/>
    <cellStyle name="40% - Accent3 9 2 2 2 2" xfId="16078"/>
    <cellStyle name="40% - Accent3 9 2 2 3" xfId="10290"/>
    <cellStyle name="40% - Accent3 9 2 2 3 2" xfId="18568"/>
    <cellStyle name="40% - Accent3 9 2 2 4" xfId="4677"/>
    <cellStyle name="40% - Accent3 9 2 2 5" xfId="13003"/>
    <cellStyle name="40% - Accent3 9 2 3" xfId="7795"/>
    <cellStyle name="40% - Accent3 9 2 3 2" xfId="16077"/>
    <cellStyle name="40% - Accent3 9 2 4" xfId="10289"/>
    <cellStyle name="40% - Accent3 9 2 4 2" xfId="18567"/>
    <cellStyle name="40% - Accent3 9 2 5" xfId="4676"/>
    <cellStyle name="40% - Accent3 9 2 6" xfId="13002"/>
    <cellStyle name="40% - Accent3 9 3" xfId="1716"/>
    <cellStyle name="40% - Accent3 9 3 2" xfId="1717"/>
    <cellStyle name="40% - Accent3 9 3 2 2" xfId="7798"/>
    <cellStyle name="40% - Accent3 9 3 2 2 2" xfId="16080"/>
    <cellStyle name="40% - Accent3 9 3 2 3" xfId="10292"/>
    <cellStyle name="40% - Accent3 9 3 2 3 2" xfId="18570"/>
    <cellStyle name="40% - Accent3 9 3 2 4" xfId="4679"/>
    <cellStyle name="40% - Accent3 9 3 2 5" xfId="13005"/>
    <cellStyle name="40% - Accent3 9 3 3" xfId="7797"/>
    <cellStyle name="40% - Accent3 9 3 3 2" xfId="16079"/>
    <cellStyle name="40% - Accent3 9 3 4" xfId="10291"/>
    <cellStyle name="40% - Accent3 9 3 4 2" xfId="18569"/>
    <cellStyle name="40% - Accent3 9 3 5" xfId="4678"/>
    <cellStyle name="40% - Accent3 9 3 6" xfId="13004"/>
    <cellStyle name="40% - Accent3 9 4" xfId="1718"/>
    <cellStyle name="40% - Accent3 9 4 2" xfId="7799"/>
    <cellStyle name="40% - Accent3 9 4 2 2" xfId="16081"/>
    <cellStyle name="40% - Accent3 9 4 3" xfId="10293"/>
    <cellStyle name="40% - Accent3 9 4 3 2" xfId="18571"/>
    <cellStyle name="40% - Accent3 9 4 4" xfId="4680"/>
    <cellStyle name="40% - Accent3 9 4 5" xfId="13006"/>
    <cellStyle name="40% - Accent3 9 5" xfId="1719"/>
    <cellStyle name="40% - Accent3 9 5 2" xfId="7800"/>
    <cellStyle name="40% - Accent3 9 5 2 2" xfId="16082"/>
    <cellStyle name="40% - Accent3 9 5 3" xfId="10294"/>
    <cellStyle name="40% - Accent3 9 5 3 2" xfId="18572"/>
    <cellStyle name="40% - Accent3 9 5 4" xfId="4681"/>
    <cellStyle name="40% - Accent3 9 5 5" xfId="13007"/>
    <cellStyle name="40% - Accent3 9 6" xfId="4682"/>
    <cellStyle name="40% - Accent3 9 6 2" xfId="13008"/>
    <cellStyle name="40% - Accent3 9 7" xfId="6018"/>
    <cellStyle name="40% - Accent3 9 7 2" xfId="14300"/>
    <cellStyle name="40% - Accent3 9 8" xfId="7794"/>
    <cellStyle name="40% - Accent3 9 8 2" xfId="16076"/>
    <cellStyle name="40% - Accent3 9 9" xfId="10288"/>
    <cellStyle name="40% - Accent3 9 9 2" xfId="18566"/>
    <cellStyle name="40% - Accent4" xfId="1720" builtinId="43" customBuiltin="1"/>
    <cellStyle name="40% - Accent4 10" xfId="1721"/>
    <cellStyle name="40% - Accent4 10 10" xfId="4684"/>
    <cellStyle name="40% - Accent4 10 11" xfId="13010"/>
    <cellStyle name="40% - Accent4 10 2" xfId="1722"/>
    <cellStyle name="40% - Accent4 10 2 2" xfId="1723"/>
    <cellStyle name="40% - Accent4 10 2 2 2" xfId="7804"/>
    <cellStyle name="40% - Accent4 10 2 2 2 2" xfId="16086"/>
    <cellStyle name="40% - Accent4 10 2 2 3" xfId="10298"/>
    <cellStyle name="40% - Accent4 10 2 2 3 2" xfId="18576"/>
    <cellStyle name="40% - Accent4 10 2 2 4" xfId="4686"/>
    <cellStyle name="40% - Accent4 10 2 2 5" xfId="13012"/>
    <cellStyle name="40% - Accent4 10 2 3" xfId="7803"/>
    <cellStyle name="40% - Accent4 10 2 3 2" xfId="16085"/>
    <cellStyle name="40% - Accent4 10 2 4" xfId="10297"/>
    <cellStyle name="40% - Accent4 10 2 4 2" xfId="18575"/>
    <cellStyle name="40% - Accent4 10 2 5" xfId="4685"/>
    <cellStyle name="40% - Accent4 10 2 6" xfId="13011"/>
    <cellStyle name="40% - Accent4 10 3" xfId="1724"/>
    <cellStyle name="40% - Accent4 10 3 2" xfId="1725"/>
    <cellStyle name="40% - Accent4 10 3 2 2" xfId="7806"/>
    <cellStyle name="40% - Accent4 10 3 2 2 2" xfId="16088"/>
    <cellStyle name="40% - Accent4 10 3 2 3" xfId="10300"/>
    <cellStyle name="40% - Accent4 10 3 2 3 2" xfId="18578"/>
    <cellStyle name="40% - Accent4 10 3 2 4" xfId="4688"/>
    <cellStyle name="40% - Accent4 10 3 2 5" xfId="13014"/>
    <cellStyle name="40% - Accent4 10 3 3" xfId="7805"/>
    <cellStyle name="40% - Accent4 10 3 3 2" xfId="16087"/>
    <cellStyle name="40% - Accent4 10 3 4" xfId="10299"/>
    <cellStyle name="40% - Accent4 10 3 4 2" xfId="18577"/>
    <cellStyle name="40% - Accent4 10 3 5" xfId="4687"/>
    <cellStyle name="40% - Accent4 10 3 6" xfId="13013"/>
    <cellStyle name="40% - Accent4 10 4" xfId="1726"/>
    <cellStyle name="40% - Accent4 10 4 2" xfId="7807"/>
    <cellStyle name="40% - Accent4 10 4 2 2" xfId="16089"/>
    <cellStyle name="40% - Accent4 10 4 3" xfId="10301"/>
    <cellStyle name="40% - Accent4 10 4 3 2" xfId="18579"/>
    <cellStyle name="40% - Accent4 10 4 4" xfId="4689"/>
    <cellStyle name="40% - Accent4 10 4 5" xfId="13015"/>
    <cellStyle name="40% - Accent4 10 5" xfId="1727"/>
    <cellStyle name="40% - Accent4 10 5 2" xfId="7808"/>
    <cellStyle name="40% - Accent4 10 5 2 2" xfId="16090"/>
    <cellStyle name="40% - Accent4 10 5 3" xfId="10302"/>
    <cellStyle name="40% - Accent4 10 5 3 2" xfId="18580"/>
    <cellStyle name="40% - Accent4 10 5 4" xfId="4690"/>
    <cellStyle name="40% - Accent4 10 5 5" xfId="13016"/>
    <cellStyle name="40% - Accent4 10 6" xfId="4691"/>
    <cellStyle name="40% - Accent4 10 6 2" xfId="13017"/>
    <cellStyle name="40% - Accent4 10 7" xfId="6034"/>
    <cellStyle name="40% - Accent4 10 7 2" xfId="14316"/>
    <cellStyle name="40% - Accent4 10 8" xfId="7802"/>
    <cellStyle name="40% - Accent4 10 8 2" xfId="16084"/>
    <cellStyle name="40% - Accent4 10 9" xfId="10296"/>
    <cellStyle name="40% - Accent4 10 9 2" xfId="18574"/>
    <cellStyle name="40% - Accent4 11" xfId="1728"/>
    <cellStyle name="40% - Accent4 11 10" xfId="13018"/>
    <cellStyle name="40% - Accent4 11 2" xfId="1729"/>
    <cellStyle name="40% - Accent4 11 2 2" xfId="1730"/>
    <cellStyle name="40% - Accent4 11 2 2 2" xfId="7811"/>
    <cellStyle name="40% - Accent4 11 2 2 2 2" xfId="16093"/>
    <cellStyle name="40% - Accent4 11 2 2 3" xfId="10305"/>
    <cellStyle name="40% - Accent4 11 2 2 3 2" xfId="18583"/>
    <cellStyle name="40% - Accent4 11 2 2 4" xfId="4694"/>
    <cellStyle name="40% - Accent4 11 2 2 5" xfId="13020"/>
    <cellStyle name="40% - Accent4 11 2 3" xfId="7810"/>
    <cellStyle name="40% - Accent4 11 2 3 2" xfId="16092"/>
    <cellStyle name="40% - Accent4 11 2 4" xfId="10304"/>
    <cellStyle name="40% - Accent4 11 2 4 2" xfId="18582"/>
    <cellStyle name="40% - Accent4 11 2 5" xfId="4693"/>
    <cellStyle name="40% - Accent4 11 2 6" xfId="13019"/>
    <cellStyle name="40% - Accent4 11 3" xfId="1731"/>
    <cellStyle name="40% - Accent4 11 3 2" xfId="7812"/>
    <cellStyle name="40% - Accent4 11 3 2 2" xfId="16094"/>
    <cellStyle name="40% - Accent4 11 3 3" xfId="10306"/>
    <cellStyle name="40% - Accent4 11 3 3 2" xfId="18584"/>
    <cellStyle name="40% - Accent4 11 3 4" xfId="4695"/>
    <cellStyle name="40% - Accent4 11 3 5" xfId="13021"/>
    <cellStyle name="40% - Accent4 11 4" xfId="1732"/>
    <cellStyle name="40% - Accent4 11 4 2" xfId="7813"/>
    <cellStyle name="40% - Accent4 11 4 2 2" xfId="16095"/>
    <cellStyle name="40% - Accent4 11 4 3" xfId="10307"/>
    <cellStyle name="40% - Accent4 11 4 3 2" xfId="18585"/>
    <cellStyle name="40% - Accent4 11 4 4" xfId="4696"/>
    <cellStyle name="40% - Accent4 11 4 5" xfId="13022"/>
    <cellStyle name="40% - Accent4 11 5" xfId="4697"/>
    <cellStyle name="40% - Accent4 11 5 2" xfId="13023"/>
    <cellStyle name="40% - Accent4 11 6" xfId="5720"/>
    <cellStyle name="40% - Accent4 11 6 2" xfId="14006"/>
    <cellStyle name="40% - Accent4 11 7" xfId="7809"/>
    <cellStyle name="40% - Accent4 11 7 2" xfId="16091"/>
    <cellStyle name="40% - Accent4 11 8" xfId="10303"/>
    <cellStyle name="40% - Accent4 11 8 2" xfId="18581"/>
    <cellStyle name="40% - Accent4 11 9" xfId="4692"/>
    <cellStyle name="40% - Accent4 12" xfId="1733"/>
    <cellStyle name="40% - Accent4 12 2" xfId="1734"/>
    <cellStyle name="40% - Accent4 12 2 2" xfId="7815"/>
    <cellStyle name="40% - Accent4 12 2 2 2" xfId="16097"/>
    <cellStyle name="40% - Accent4 12 2 3" xfId="10309"/>
    <cellStyle name="40% - Accent4 12 2 3 2" xfId="18587"/>
    <cellStyle name="40% - Accent4 12 2 4" xfId="4699"/>
    <cellStyle name="40% - Accent4 12 2 5" xfId="13025"/>
    <cellStyle name="40% - Accent4 12 3" xfId="4700"/>
    <cellStyle name="40% - Accent4 12 3 2" xfId="13026"/>
    <cellStyle name="40% - Accent4 12 4" xfId="6049"/>
    <cellStyle name="40% - Accent4 12 4 2" xfId="14331"/>
    <cellStyle name="40% - Accent4 12 5" xfId="7814"/>
    <cellStyle name="40% - Accent4 12 5 2" xfId="16096"/>
    <cellStyle name="40% - Accent4 12 6" xfId="10308"/>
    <cellStyle name="40% - Accent4 12 6 2" xfId="18586"/>
    <cellStyle name="40% - Accent4 12 7" xfId="4698"/>
    <cellStyle name="40% - Accent4 12 8" xfId="13024"/>
    <cellStyle name="40% - Accent4 13" xfId="1735"/>
    <cellStyle name="40% - Accent4 13 2" xfId="1736"/>
    <cellStyle name="40% - Accent4 13 2 2" xfId="7817"/>
    <cellStyle name="40% - Accent4 13 2 2 2" xfId="16099"/>
    <cellStyle name="40% - Accent4 13 2 3" xfId="10311"/>
    <cellStyle name="40% - Accent4 13 2 3 2" xfId="18589"/>
    <cellStyle name="40% - Accent4 13 2 4" xfId="4702"/>
    <cellStyle name="40% - Accent4 13 2 5" xfId="13028"/>
    <cellStyle name="40% - Accent4 13 3" xfId="4703"/>
    <cellStyle name="40% - Accent4 13 3 2" xfId="13029"/>
    <cellStyle name="40% - Accent4 13 4" xfId="6063"/>
    <cellStyle name="40% - Accent4 13 4 2" xfId="14345"/>
    <cellStyle name="40% - Accent4 13 5" xfId="7816"/>
    <cellStyle name="40% - Accent4 13 5 2" xfId="16098"/>
    <cellStyle name="40% - Accent4 13 6" xfId="10310"/>
    <cellStyle name="40% - Accent4 13 6 2" xfId="18588"/>
    <cellStyle name="40% - Accent4 13 7" xfId="4701"/>
    <cellStyle name="40% - Accent4 13 8" xfId="13027"/>
    <cellStyle name="40% - Accent4 14" xfId="1737"/>
    <cellStyle name="40% - Accent4 14 2" xfId="4705"/>
    <cellStyle name="40% - Accent4 14 2 2" xfId="13031"/>
    <cellStyle name="40% - Accent4 14 3" xfId="6077"/>
    <cellStyle name="40% - Accent4 14 3 2" xfId="14359"/>
    <cellStyle name="40% - Accent4 14 4" xfId="7818"/>
    <cellStyle name="40% - Accent4 14 4 2" xfId="16100"/>
    <cellStyle name="40% - Accent4 14 5" xfId="10312"/>
    <cellStyle name="40% - Accent4 14 5 2" xfId="18590"/>
    <cellStyle name="40% - Accent4 14 6" xfId="4704"/>
    <cellStyle name="40% - Accent4 14 7" xfId="13030"/>
    <cellStyle name="40% - Accent4 15" xfId="1738"/>
    <cellStyle name="40% - Accent4 15 2" xfId="7819"/>
    <cellStyle name="40% - Accent4 15 2 2" xfId="16101"/>
    <cellStyle name="40% - Accent4 15 3" xfId="10313"/>
    <cellStyle name="40% - Accent4 15 3 2" xfId="18591"/>
    <cellStyle name="40% - Accent4 15 4" xfId="4706"/>
    <cellStyle name="40% - Accent4 15 5" xfId="13032"/>
    <cellStyle name="40% - Accent4 16" xfId="4707"/>
    <cellStyle name="40% - Accent4 16 2" xfId="13033"/>
    <cellStyle name="40% - Accent4 17" xfId="5630"/>
    <cellStyle name="40% - Accent4 17 2" xfId="13920"/>
    <cellStyle name="40% - Accent4 18" xfId="7801"/>
    <cellStyle name="40% - Accent4 18 2" xfId="16083"/>
    <cellStyle name="40% - Accent4 19" xfId="10295"/>
    <cellStyle name="40% - Accent4 19 2" xfId="18573"/>
    <cellStyle name="40% - Accent4 2" xfId="1739"/>
    <cellStyle name="40% - Accent4 2 10" xfId="1740"/>
    <cellStyle name="40% - Accent4 2 10 2" xfId="7821"/>
    <cellStyle name="40% - Accent4 2 10 2 2" xfId="16103"/>
    <cellStyle name="40% - Accent4 2 10 3" xfId="10315"/>
    <cellStyle name="40% - Accent4 2 10 3 2" xfId="18593"/>
    <cellStyle name="40% - Accent4 2 10 4" xfId="4709"/>
    <cellStyle name="40% - Accent4 2 10 5" xfId="13035"/>
    <cellStyle name="40% - Accent4 2 11" xfId="1741"/>
    <cellStyle name="40% - Accent4 2 11 2" xfId="7822"/>
    <cellStyle name="40% - Accent4 2 11 2 2" xfId="16104"/>
    <cellStyle name="40% - Accent4 2 11 3" xfId="10316"/>
    <cellStyle name="40% - Accent4 2 11 3 2" xfId="18594"/>
    <cellStyle name="40% - Accent4 2 11 4" xfId="4710"/>
    <cellStyle name="40% - Accent4 2 11 5" xfId="13036"/>
    <cellStyle name="40% - Accent4 2 12" xfId="4711"/>
    <cellStyle name="40% - Accent4 2 12 2" xfId="13037"/>
    <cellStyle name="40% - Accent4 2 13" xfId="5647"/>
    <cellStyle name="40% - Accent4 2 13 2" xfId="13936"/>
    <cellStyle name="40% - Accent4 2 14" xfId="7820"/>
    <cellStyle name="40% - Accent4 2 14 2" xfId="16102"/>
    <cellStyle name="40% - Accent4 2 15" xfId="10314"/>
    <cellStyle name="40% - Accent4 2 15 2" xfId="18592"/>
    <cellStyle name="40% - Accent4 2 16" xfId="4708"/>
    <cellStyle name="40% - Accent4 2 17" xfId="13034"/>
    <cellStyle name="40% - Accent4 2 2" xfId="1742"/>
    <cellStyle name="40% - Accent4 2 2 10" xfId="5678"/>
    <cellStyle name="40% - Accent4 2 2 10 2" xfId="13964"/>
    <cellStyle name="40% - Accent4 2 2 11" xfId="7823"/>
    <cellStyle name="40% - Accent4 2 2 11 2" xfId="16105"/>
    <cellStyle name="40% - Accent4 2 2 12" xfId="10317"/>
    <cellStyle name="40% - Accent4 2 2 12 2" xfId="18595"/>
    <cellStyle name="40% - Accent4 2 2 13" xfId="4712"/>
    <cellStyle name="40% - Accent4 2 2 14" xfId="13038"/>
    <cellStyle name="40% - Accent4 2 2 2" xfId="1743"/>
    <cellStyle name="40% - Accent4 2 2 2 10" xfId="4713"/>
    <cellStyle name="40% - Accent4 2 2 2 11" xfId="13039"/>
    <cellStyle name="40% - Accent4 2 2 2 2" xfId="1744"/>
    <cellStyle name="40% - Accent4 2 2 2 2 2" xfId="1745"/>
    <cellStyle name="40% - Accent4 2 2 2 2 2 2" xfId="7826"/>
    <cellStyle name="40% - Accent4 2 2 2 2 2 2 2" xfId="16108"/>
    <cellStyle name="40% - Accent4 2 2 2 2 2 3" xfId="10320"/>
    <cellStyle name="40% - Accent4 2 2 2 2 2 3 2" xfId="18598"/>
    <cellStyle name="40% - Accent4 2 2 2 2 2 4" xfId="4715"/>
    <cellStyle name="40% - Accent4 2 2 2 2 2 5" xfId="13041"/>
    <cellStyle name="40% - Accent4 2 2 2 2 3" xfId="7825"/>
    <cellStyle name="40% - Accent4 2 2 2 2 3 2" xfId="16107"/>
    <cellStyle name="40% - Accent4 2 2 2 2 4" xfId="10319"/>
    <cellStyle name="40% - Accent4 2 2 2 2 4 2" xfId="18597"/>
    <cellStyle name="40% - Accent4 2 2 2 2 5" xfId="4714"/>
    <cellStyle name="40% - Accent4 2 2 2 2 6" xfId="13040"/>
    <cellStyle name="40% - Accent4 2 2 2 3" xfId="1746"/>
    <cellStyle name="40% - Accent4 2 2 2 3 2" xfId="1747"/>
    <cellStyle name="40% - Accent4 2 2 2 3 2 2" xfId="7828"/>
    <cellStyle name="40% - Accent4 2 2 2 3 2 2 2" xfId="16110"/>
    <cellStyle name="40% - Accent4 2 2 2 3 2 3" xfId="10322"/>
    <cellStyle name="40% - Accent4 2 2 2 3 2 3 2" xfId="18600"/>
    <cellStyle name="40% - Accent4 2 2 2 3 2 4" xfId="4717"/>
    <cellStyle name="40% - Accent4 2 2 2 3 2 5" xfId="13043"/>
    <cellStyle name="40% - Accent4 2 2 2 3 3" xfId="7827"/>
    <cellStyle name="40% - Accent4 2 2 2 3 3 2" xfId="16109"/>
    <cellStyle name="40% - Accent4 2 2 2 3 4" xfId="10321"/>
    <cellStyle name="40% - Accent4 2 2 2 3 4 2" xfId="18599"/>
    <cellStyle name="40% - Accent4 2 2 2 3 5" xfId="4716"/>
    <cellStyle name="40% - Accent4 2 2 2 3 6" xfId="13042"/>
    <cellStyle name="40% - Accent4 2 2 2 4" xfId="1748"/>
    <cellStyle name="40% - Accent4 2 2 2 4 2" xfId="7829"/>
    <cellStyle name="40% - Accent4 2 2 2 4 2 2" xfId="16111"/>
    <cellStyle name="40% - Accent4 2 2 2 4 3" xfId="10323"/>
    <cellStyle name="40% - Accent4 2 2 2 4 3 2" xfId="18601"/>
    <cellStyle name="40% - Accent4 2 2 2 4 4" xfId="4718"/>
    <cellStyle name="40% - Accent4 2 2 2 4 5" xfId="13044"/>
    <cellStyle name="40% - Accent4 2 2 2 5" xfId="1749"/>
    <cellStyle name="40% - Accent4 2 2 2 5 2" xfId="7830"/>
    <cellStyle name="40% - Accent4 2 2 2 5 2 2" xfId="16112"/>
    <cellStyle name="40% - Accent4 2 2 2 5 3" xfId="10324"/>
    <cellStyle name="40% - Accent4 2 2 2 5 3 2" xfId="18602"/>
    <cellStyle name="40% - Accent4 2 2 2 5 4" xfId="4719"/>
    <cellStyle name="40% - Accent4 2 2 2 5 5" xfId="13045"/>
    <cellStyle name="40% - Accent4 2 2 2 6" xfId="4720"/>
    <cellStyle name="40% - Accent4 2 2 2 6 2" xfId="13046"/>
    <cellStyle name="40% - Accent4 2 2 2 7" xfId="5880"/>
    <cellStyle name="40% - Accent4 2 2 2 7 2" xfId="14162"/>
    <cellStyle name="40% - Accent4 2 2 2 8" xfId="7824"/>
    <cellStyle name="40% - Accent4 2 2 2 8 2" xfId="16106"/>
    <cellStyle name="40% - Accent4 2 2 2 9" xfId="10318"/>
    <cellStyle name="40% - Accent4 2 2 2 9 2" xfId="18596"/>
    <cellStyle name="40% - Accent4 2 2 3" xfId="1750"/>
    <cellStyle name="40% - Accent4 2 2 3 10" xfId="4721"/>
    <cellStyle name="40% - Accent4 2 2 3 11" xfId="13047"/>
    <cellStyle name="40% - Accent4 2 2 3 2" xfId="1751"/>
    <cellStyle name="40% - Accent4 2 2 3 2 2" xfId="1752"/>
    <cellStyle name="40% - Accent4 2 2 3 2 2 2" xfId="7833"/>
    <cellStyle name="40% - Accent4 2 2 3 2 2 2 2" xfId="16115"/>
    <cellStyle name="40% - Accent4 2 2 3 2 2 3" xfId="10327"/>
    <cellStyle name="40% - Accent4 2 2 3 2 2 3 2" xfId="18605"/>
    <cellStyle name="40% - Accent4 2 2 3 2 2 4" xfId="4723"/>
    <cellStyle name="40% - Accent4 2 2 3 2 2 5" xfId="13049"/>
    <cellStyle name="40% - Accent4 2 2 3 2 3" xfId="7832"/>
    <cellStyle name="40% - Accent4 2 2 3 2 3 2" xfId="16114"/>
    <cellStyle name="40% - Accent4 2 2 3 2 4" xfId="10326"/>
    <cellStyle name="40% - Accent4 2 2 3 2 4 2" xfId="18604"/>
    <cellStyle name="40% - Accent4 2 2 3 2 5" xfId="4722"/>
    <cellStyle name="40% - Accent4 2 2 3 2 6" xfId="13048"/>
    <cellStyle name="40% - Accent4 2 2 3 3" xfId="1753"/>
    <cellStyle name="40% - Accent4 2 2 3 3 2" xfId="1754"/>
    <cellStyle name="40% - Accent4 2 2 3 3 2 2" xfId="7835"/>
    <cellStyle name="40% - Accent4 2 2 3 3 2 2 2" xfId="16117"/>
    <cellStyle name="40% - Accent4 2 2 3 3 2 3" xfId="10329"/>
    <cellStyle name="40% - Accent4 2 2 3 3 2 3 2" xfId="18607"/>
    <cellStyle name="40% - Accent4 2 2 3 3 2 4" xfId="4725"/>
    <cellStyle name="40% - Accent4 2 2 3 3 2 5" xfId="13051"/>
    <cellStyle name="40% - Accent4 2 2 3 3 3" xfId="7834"/>
    <cellStyle name="40% - Accent4 2 2 3 3 3 2" xfId="16116"/>
    <cellStyle name="40% - Accent4 2 2 3 3 4" xfId="10328"/>
    <cellStyle name="40% - Accent4 2 2 3 3 4 2" xfId="18606"/>
    <cellStyle name="40% - Accent4 2 2 3 3 5" xfId="4724"/>
    <cellStyle name="40% - Accent4 2 2 3 3 6" xfId="13050"/>
    <cellStyle name="40% - Accent4 2 2 3 4" xfId="1755"/>
    <cellStyle name="40% - Accent4 2 2 3 4 2" xfId="7836"/>
    <cellStyle name="40% - Accent4 2 2 3 4 2 2" xfId="16118"/>
    <cellStyle name="40% - Accent4 2 2 3 4 3" xfId="10330"/>
    <cellStyle name="40% - Accent4 2 2 3 4 3 2" xfId="18608"/>
    <cellStyle name="40% - Accent4 2 2 3 4 4" xfId="4726"/>
    <cellStyle name="40% - Accent4 2 2 3 4 5" xfId="13052"/>
    <cellStyle name="40% - Accent4 2 2 3 5" xfId="1756"/>
    <cellStyle name="40% - Accent4 2 2 3 5 2" xfId="7837"/>
    <cellStyle name="40% - Accent4 2 2 3 5 2 2" xfId="16119"/>
    <cellStyle name="40% - Accent4 2 2 3 5 3" xfId="10331"/>
    <cellStyle name="40% - Accent4 2 2 3 5 3 2" xfId="18609"/>
    <cellStyle name="40% - Accent4 2 2 3 5 4" xfId="4727"/>
    <cellStyle name="40% - Accent4 2 2 3 5 5" xfId="13053"/>
    <cellStyle name="40% - Accent4 2 2 3 6" xfId="4728"/>
    <cellStyle name="40% - Accent4 2 2 3 6 2" xfId="13054"/>
    <cellStyle name="40% - Accent4 2 2 3 7" xfId="5978"/>
    <cellStyle name="40% - Accent4 2 2 3 7 2" xfId="14260"/>
    <cellStyle name="40% - Accent4 2 2 3 8" xfId="7831"/>
    <cellStyle name="40% - Accent4 2 2 3 8 2" xfId="16113"/>
    <cellStyle name="40% - Accent4 2 2 3 9" xfId="10325"/>
    <cellStyle name="40% - Accent4 2 2 3 9 2" xfId="18603"/>
    <cellStyle name="40% - Accent4 2 2 4" xfId="1757"/>
    <cellStyle name="40% - Accent4 2 2 4 10" xfId="13055"/>
    <cellStyle name="40% - Accent4 2 2 4 2" xfId="1758"/>
    <cellStyle name="40% - Accent4 2 2 4 2 2" xfId="1759"/>
    <cellStyle name="40% - Accent4 2 2 4 2 2 2" xfId="7840"/>
    <cellStyle name="40% - Accent4 2 2 4 2 2 2 2" xfId="16122"/>
    <cellStyle name="40% - Accent4 2 2 4 2 2 3" xfId="10334"/>
    <cellStyle name="40% - Accent4 2 2 4 2 2 3 2" xfId="18612"/>
    <cellStyle name="40% - Accent4 2 2 4 2 2 4" xfId="4731"/>
    <cellStyle name="40% - Accent4 2 2 4 2 2 5" xfId="13057"/>
    <cellStyle name="40% - Accent4 2 2 4 2 3" xfId="7839"/>
    <cellStyle name="40% - Accent4 2 2 4 2 3 2" xfId="16121"/>
    <cellStyle name="40% - Accent4 2 2 4 2 4" xfId="10333"/>
    <cellStyle name="40% - Accent4 2 2 4 2 4 2" xfId="18611"/>
    <cellStyle name="40% - Accent4 2 2 4 2 5" xfId="4730"/>
    <cellStyle name="40% - Accent4 2 2 4 2 6" xfId="13056"/>
    <cellStyle name="40% - Accent4 2 2 4 3" xfId="1760"/>
    <cellStyle name="40% - Accent4 2 2 4 3 2" xfId="7841"/>
    <cellStyle name="40% - Accent4 2 2 4 3 2 2" xfId="16123"/>
    <cellStyle name="40% - Accent4 2 2 4 3 3" xfId="10335"/>
    <cellStyle name="40% - Accent4 2 2 4 3 3 2" xfId="18613"/>
    <cellStyle name="40% - Accent4 2 2 4 3 4" xfId="4732"/>
    <cellStyle name="40% - Accent4 2 2 4 3 5" xfId="13058"/>
    <cellStyle name="40% - Accent4 2 2 4 4" xfId="1761"/>
    <cellStyle name="40% - Accent4 2 2 4 4 2" xfId="7842"/>
    <cellStyle name="40% - Accent4 2 2 4 4 2 2" xfId="16124"/>
    <cellStyle name="40% - Accent4 2 2 4 4 3" xfId="10336"/>
    <cellStyle name="40% - Accent4 2 2 4 4 3 2" xfId="18614"/>
    <cellStyle name="40% - Accent4 2 2 4 4 4" xfId="4733"/>
    <cellStyle name="40% - Accent4 2 2 4 4 5" xfId="13059"/>
    <cellStyle name="40% - Accent4 2 2 4 5" xfId="4734"/>
    <cellStyle name="40% - Accent4 2 2 4 5 2" xfId="13060"/>
    <cellStyle name="40% - Accent4 2 2 4 6" xfId="5794"/>
    <cellStyle name="40% - Accent4 2 2 4 6 2" xfId="14076"/>
    <cellStyle name="40% - Accent4 2 2 4 7" xfId="7838"/>
    <cellStyle name="40% - Accent4 2 2 4 7 2" xfId="16120"/>
    <cellStyle name="40% - Accent4 2 2 4 8" xfId="10332"/>
    <cellStyle name="40% - Accent4 2 2 4 8 2" xfId="18610"/>
    <cellStyle name="40% - Accent4 2 2 4 9" xfId="4729"/>
    <cellStyle name="40% - Accent4 2 2 5" xfId="1762"/>
    <cellStyle name="40% - Accent4 2 2 5 2" xfId="1763"/>
    <cellStyle name="40% - Accent4 2 2 5 2 2" xfId="7844"/>
    <cellStyle name="40% - Accent4 2 2 5 2 2 2" xfId="16126"/>
    <cellStyle name="40% - Accent4 2 2 5 2 3" xfId="10338"/>
    <cellStyle name="40% - Accent4 2 2 5 2 3 2" xfId="18616"/>
    <cellStyle name="40% - Accent4 2 2 5 2 4" xfId="4736"/>
    <cellStyle name="40% - Accent4 2 2 5 2 5" xfId="13062"/>
    <cellStyle name="40% - Accent4 2 2 5 3" xfId="7843"/>
    <cellStyle name="40% - Accent4 2 2 5 3 2" xfId="16125"/>
    <cellStyle name="40% - Accent4 2 2 5 4" xfId="10337"/>
    <cellStyle name="40% - Accent4 2 2 5 4 2" xfId="18615"/>
    <cellStyle name="40% - Accent4 2 2 5 5" xfId="4735"/>
    <cellStyle name="40% - Accent4 2 2 5 6" xfId="13061"/>
    <cellStyle name="40% - Accent4 2 2 6" xfId="1764"/>
    <cellStyle name="40% - Accent4 2 2 6 2" xfId="1765"/>
    <cellStyle name="40% - Accent4 2 2 6 2 2" xfId="7846"/>
    <cellStyle name="40% - Accent4 2 2 6 2 2 2" xfId="16128"/>
    <cellStyle name="40% - Accent4 2 2 6 2 3" xfId="10340"/>
    <cellStyle name="40% - Accent4 2 2 6 2 3 2" xfId="18618"/>
    <cellStyle name="40% - Accent4 2 2 6 2 4" xfId="4738"/>
    <cellStyle name="40% - Accent4 2 2 6 2 5" xfId="13064"/>
    <cellStyle name="40% - Accent4 2 2 6 3" xfId="7845"/>
    <cellStyle name="40% - Accent4 2 2 6 3 2" xfId="16127"/>
    <cellStyle name="40% - Accent4 2 2 6 4" xfId="10339"/>
    <cellStyle name="40% - Accent4 2 2 6 4 2" xfId="18617"/>
    <cellStyle name="40% - Accent4 2 2 6 5" xfId="4737"/>
    <cellStyle name="40% - Accent4 2 2 6 6" xfId="13063"/>
    <cellStyle name="40% - Accent4 2 2 7" xfId="1766"/>
    <cellStyle name="40% - Accent4 2 2 7 2" xfId="7847"/>
    <cellStyle name="40% - Accent4 2 2 7 2 2" xfId="16129"/>
    <cellStyle name="40% - Accent4 2 2 7 3" xfId="10341"/>
    <cellStyle name="40% - Accent4 2 2 7 3 2" xfId="18619"/>
    <cellStyle name="40% - Accent4 2 2 7 4" xfId="4739"/>
    <cellStyle name="40% - Accent4 2 2 7 5" xfId="13065"/>
    <cellStyle name="40% - Accent4 2 2 8" xfId="1767"/>
    <cellStyle name="40% - Accent4 2 2 8 2" xfId="7848"/>
    <cellStyle name="40% - Accent4 2 2 8 2 2" xfId="16130"/>
    <cellStyle name="40% - Accent4 2 2 8 3" xfId="10342"/>
    <cellStyle name="40% - Accent4 2 2 8 3 2" xfId="18620"/>
    <cellStyle name="40% - Accent4 2 2 8 4" xfId="4740"/>
    <cellStyle name="40% - Accent4 2 2 8 5" xfId="13066"/>
    <cellStyle name="40% - Accent4 2 2 9" xfId="4741"/>
    <cellStyle name="40% - Accent4 2 2 9 2" xfId="13067"/>
    <cellStyle name="40% - Accent4 2 3" xfId="1768"/>
    <cellStyle name="40% - Accent4 2 3 10" xfId="5706"/>
    <cellStyle name="40% - Accent4 2 3 10 2" xfId="13992"/>
    <cellStyle name="40% - Accent4 2 3 11" xfId="7849"/>
    <cellStyle name="40% - Accent4 2 3 11 2" xfId="16131"/>
    <cellStyle name="40% - Accent4 2 3 12" xfId="10343"/>
    <cellStyle name="40% - Accent4 2 3 12 2" xfId="18621"/>
    <cellStyle name="40% - Accent4 2 3 13" xfId="4742"/>
    <cellStyle name="40% - Accent4 2 3 14" xfId="13068"/>
    <cellStyle name="40% - Accent4 2 3 2" xfId="1769"/>
    <cellStyle name="40% - Accent4 2 3 2 10" xfId="4743"/>
    <cellStyle name="40% - Accent4 2 3 2 11" xfId="13069"/>
    <cellStyle name="40% - Accent4 2 3 2 2" xfId="1770"/>
    <cellStyle name="40% - Accent4 2 3 2 2 2" xfId="1771"/>
    <cellStyle name="40% - Accent4 2 3 2 2 2 2" xfId="7852"/>
    <cellStyle name="40% - Accent4 2 3 2 2 2 2 2" xfId="16134"/>
    <cellStyle name="40% - Accent4 2 3 2 2 2 3" xfId="10346"/>
    <cellStyle name="40% - Accent4 2 3 2 2 2 3 2" xfId="18624"/>
    <cellStyle name="40% - Accent4 2 3 2 2 2 4" xfId="4745"/>
    <cellStyle name="40% - Accent4 2 3 2 2 2 5" xfId="13071"/>
    <cellStyle name="40% - Accent4 2 3 2 2 3" xfId="7851"/>
    <cellStyle name="40% - Accent4 2 3 2 2 3 2" xfId="16133"/>
    <cellStyle name="40% - Accent4 2 3 2 2 4" xfId="10345"/>
    <cellStyle name="40% - Accent4 2 3 2 2 4 2" xfId="18623"/>
    <cellStyle name="40% - Accent4 2 3 2 2 5" xfId="4744"/>
    <cellStyle name="40% - Accent4 2 3 2 2 6" xfId="13070"/>
    <cellStyle name="40% - Accent4 2 3 2 3" xfId="1772"/>
    <cellStyle name="40% - Accent4 2 3 2 3 2" xfId="1773"/>
    <cellStyle name="40% - Accent4 2 3 2 3 2 2" xfId="7854"/>
    <cellStyle name="40% - Accent4 2 3 2 3 2 2 2" xfId="16136"/>
    <cellStyle name="40% - Accent4 2 3 2 3 2 3" xfId="10348"/>
    <cellStyle name="40% - Accent4 2 3 2 3 2 3 2" xfId="18626"/>
    <cellStyle name="40% - Accent4 2 3 2 3 2 4" xfId="4747"/>
    <cellStyle name="40% - Accent4 2 3 2 3 2 5" xfId="13073"/>
    <cellStyle name="40% - Accent4 2 3 2 3 3" xfId="7853"/>
    <cellStyle name="40% - Accent4 2 3 2 3 3 2" xfId="16135"/>
    <cellStyle name="40% - Accent4 2 3 2 3 4" xfId="10347"/>
    <cellStyle name="40% - Accent4 2 3 2 3 4 2" xfId="18625"/>
    <cellStyle name="40% - Accent4 2 3 2 3 5" xfId="4746"/>
    <cellStyle name="40% - Accent4 2 3 2 3 6" xfId="13072"/>
    <cellStyle name="40% - Accent4 2 3 2 4" xfId="1774"/>
    <cellStyle name="40% - Accent4 2 3 2 4 2" xfId="7855"/>
    <cellStyle name="40% - Accent4 2 3 2 4 2 2" xfId="16137"/>
    <cellStyle name="40% - Accent4 2 3 2 4 3" xfId="10349"/>
    <cellStyle name="40% - Accent4 2 3 2 4 3 2" xfId="18627"/>
    <cellStyle name="40% - Accent4 2 3 2 4 4" xfId="4748"/>
    <cellStyle name="40% - Accent4 2 3 2 4 5" xfId="13074"/>
    <cellStyle name="40% - Accent4 2 3 2 5" xfId="1775"/>
    <cellStyle name="40% - Accent4 2 3 2 5 2" xfId="7856"/>
    <cellStyle name="40% - Accent4 2 3 2 5 2 2" xfId="16138"/>
    <cellStyle name="40% - Accent4 2 3 2 5 3" xfId="10350"/>
    <cellStyle name="40% - Accent4 2 3 2 5 3 2" xfId="18628"/>
    <cellStyle name="40% - Accent4 2 3 2 5 4" xfId="4749"/>
    <cellStyle name="40% - Accent4 2 3 2 5 5" xfId="13075"/>
    <cellStyle name="40% - Accent4 2 3 2 6" xfId="4750"/>
    <cellStyle name="40% - Accent4 2 3 2 6 2" xfId="13076"/>
    <cellStyle name="40% - Accent4 2 3 2 7" xfId="5908"/>
    <cellStyle name="40% - Accent4 2 3 2 7 2" xfId="14190"/>
    <cellStyle name="40% - Accent4 2 3 2 8" xfId="7850"/>
    <cellStyle name="40% - Accent4 2 3 2 8 2" xfId="16132"/>
    <cellStyle name="40% - Accent4 2 3 2 9" xfId="10344"/>
    <cellStyle name="40% - Accent4 2 3 2 9 2" xfId="18622"/>
    <cellStyle name="40% - Accent4 2 3 3" xfId="1776"/>
    <cellStyle name="40% - Accent4 2 3 3 10" xfId="4751"/>
    <cellStyle name="40% - Accent4 2 3 3 11" xfId="13077"/>
    <cellStyle name="40% - Accent4 2 3 3 2" xfId="1777"/>
    <cellStyle name="40% - Accent4 2 3 3 2 2" xfId="1778"/>
    <cellStyle name="40% - Accent4 2 3 3 2 2 2" xfId="7859"/>
    <cellStyle name="40% - Accent4 2 3 3 2 2 2 2" xfId="16141"/>
    <cellStyle name="40% - Accent4 2 3 3 2 2 3" xfId="10353"/>
    <cellStyle name="40% - Accent4 2 3 3 2 2 3 2" xfId="18631"/>
    <cellStyle name="40% - Accent4 2 3 3 2 2 4" xfId="4753"/>
    <cellStyle name="40% - Accent4 2 3 3 2 2 5" xfId="13079"/>
    <cellStyle name="40% - Accent4 2 3 3 2 3" xfId="7858"/>
    <cellStyle name="40% - Accent4 2 3 3 2 3 2" xfId="16140"/>
    <cellStyle name="40% - Accent4 2 3 3 2 4" xfId="10352"/>
    <cellStyle name="40% - Accent4 2 3 3 2 4 2" xfId="18630"/>
    <cellStyle name="40% - Accent4 2 3 3 2 5" xfId="4752"/>
    <cellStyle name="40% - Accent4 2 3 3 2 6" xfId="13078"/>
    <cellStyle name="40% - Accent4 2 3 3 3" xfId="1779"/>
    <cellStyle name="40% - Accent4 2 3 3 3 2" xfId="1780"/>
    <cellStyle name="40% - Accent4 2 3 3 3 2 2" xfId="7861"/>
    <cellStyle name="40% - Accent4 2 3 3 3 2 2 2" xfId="16143"/>
    <cellStyle name="40% - Accent4 2 3 3 3 2 3" xfId="10355"/>
    <cellStyle name="40% - Accent4 2 3 3 3 2 3 2" xfId="18633"/>
    <cellStyle name="40% - Accent4 2 3 3 3 2 4" xfId="4755"/>
    <cellStyle name="40% - Accent4 2 3 3 3 2 5" xfId="13081"/>
    <cellStyle name="40% - Accent4 2 3 3 3 3" xfId="7860"/>
    <cellStyle name="40% - Accent4 2 3 3 3 3 2" xfId="16142"/>
    <cellStyle name="40% - Accent4 2 3 3 3 4" xfId="10354"/>
    <cellStyle name="40% - Accent4 2 3 3 3 4 2" xfId="18632"/>
    <cellStyle name="40% - Accent4 2 3 3 3 5" xfId="4754"/>
    <cellStyle name="40% - Accent4 2 3 3 3 6" xfId="13080"/>
    <cellStyle name="40% - Accent4 2 3 3 4" xfId="1781"/>
    <cellStyle name="40% - Accent4 2 3 3 4 2" xfId="7862"/>
    <cellStyle name="40% - Accent4 2 3 3 4 2 2" xfId="16144"/>
    <cellStyle name="40% - Accent4 2 3 3 4 3" xfId="10356"/>
    <cellStyle name="40% - Accent4 2 3 3 4 3 2" xfId="18634"/>
    <cellStyle name="40% - Accent4 2 3 3 4 4" xfId="4756"/>
    <cellStyle name="40% - Accent4 2 3 3 4 5" xfId="13082"/>
    <cellStyle name="40% - Accent4 2 3 3 5" xfId="1782"/>
    <cellStyle name="40% - Accent4 2 3 3 5 2" xfId="7863"/>
    <cellStyle name="40% - Accent4 2 3 3 5 2 2" xfId="16145"/>
    <cellStyle name="40% - Accent4 2 3 3 5 3" xfId="10357"/>
    <cellStyle name="40% - Accent4 2 3 3 5 3 2" xfId="18635"/>
    <cellStyle name="40% - Accent4 2 3 3 5 4" xfId="4757"/>
    <cellStyle name="40% - Accent4 2 3 3 5 5" xfId="13083"/>
    <cellStyle name="40% - Accent4 2 3 3 6" xfId="4758"/>
    <cellStyle name="40% - Accent4 2 3 3 6 2" xfId="13084"/>
    <cellStyle name="40% - Accent4 2 3 3 7" xfId="6006"/>
    <cellStyle name="40% - Accent4 2 3 3 7 2" xfId="14288"/>
    <cellStyle name="40% - Accent4 2 3 3 8" xfId="7857"/>
    <cellStyle name="40% - Accent4 2 3 3 8 2" xfId="16139"/>
    <cellStyle name="40% - Accent4 2 3 3 9" xfId="10351"/>
    <cellStyle name="40% - Accent4 2 3 3 9 2" xfId="18629"/>
    <cellStyle name="40% - Accent4 2 3 4" xfId="1783"/>
    <cellStyle name="40% - Accent4 2 3 4 10" xfId="13085"/>
    <cellStyle name="40% - Accent4 2 3 4 2" xfId="1784"/>
    <cellStyle name="40% - Accent4 2 3 4 2 2" xfId="1785"/>
    <cellStyle name="40% - Accent4 2 3 4 2 2 2" xfId="7866"/>
    <cellStyle name="40% - Accent4 2 3 4 2 2 2 2" xfId="16148"/>
    <cellStyle name="40% - Accent4 2 3 4 2 2 3" xfId="10360"/>
    <cellStyle name="40% - Accent4 2 3 4 2 2 3 2" xfId="18638"/>
    <cellStyle name="40% - Accent4 2 3 4 2 2 4" xfId="4761"/>
    <cellStyle name="40% - Accent4 2 3 4 2 2 5" xfId="13087"/>
    <cellStyle name="40% - Accent4 2 3 4 2 3" xfId="7865"/>
    <cellStyle name="40% - Accent4 2 3 4 2 3 2" xfId="16147"/>
    <cellStyle name="40% - Accent4 2 3 4 2 4" xfId="10359"/>
    <cellStyle name="40% - Accent4 2 3 4 2 4 2" xfId="18637"/>
    <cellStyle name="40% - Accent4 2 3 4 2 5" xfId="4760"/>
    <cellStyle name="40% - Accent4 2 3 4 2 6" xfId="13086"/>
    <cellStyle name="40% - Accent4 2 3 4 3" xfId="1786"/>
    <cellStyle name="40% - Accent4 2 3 4 3 2" xfId="7867"/>
    <cellStyle name="40% - Accent4 2 3 4 3 2 2" xfId="16149"/>
    <cellStyle name="40% - Accent4 2 3 4 3 3" xfId="10361"/>
    <cellStyle name="40% - Accent4 2 3 4 3 3 2" xfId="18639"/>
    <cellStyle name="40% - Accent4 2 3 4 3 4" xfId="4762"/>
    <cellStyle name="40% - Accent4 2 3 4 3 5" xfId="13088"/>
    <cellStyle name="40% - Accent4 2 3 4 4" xfId="1787"/>
    <cellStyle name="40% - Accent4 2 3 4 4 2" xfId="7868"/>
    <cellStyle name="40% - Accent4 2 3 4 4 2 2" xfId="16150"/>
    <cellStyle name="40% - Accent4 2 3 4 4 3" xfId="10362"/>
    <cellStyle name="40% - Accent4 2 3 4 4 3 2" xfId="18640"/>
    <cellStyle name="40% - Accent4 2 3 4 4 4" xfId="4763"/>
    <cellStyle name="40% - Accent4 2 3 4 4 5" xfId="13089"/>
    <cellStyle name="40% - Accent4 2 3 4 5" xfId="4764"/>
    <cellStyle name="40% - Accent4 2 3 4 5 2" xfId="13090"/>
    <cellStyle name="40% - Accent4 2 3 4 6" xfId="5822"/>
    <cellStyle name="40% - Accent4 2 3 4 6 2" xfId="14104"/>
    <cellStyle name="40% - Accent4 2 3 4 7" xfId="7864"/>
    <cellStyle name="40% - Accent4 2 3 4 7 2" xfId="16146"/>
    <cellStyle name="40% - Accent4 2 3 4 8" xfId="10358"/>
    <cellStyle name="40% - Accent4 2 3 4 8 2" xfId="18636"/>
    <cellStyle name="40% - Accent4 2 3 4 9" xfId="4759"/>
    <cellStyle name="40% - Accent4 2 3 5" xfId="1788"/>
    <cellStyle name="40% - Accent4 2 3 5 2" xfId="1789"/>
    <cellStyle name="40% - Accent4 2 3 5 2 2" xfId="7870"/>
    <cellStyle name="40% - Accent4 2 3 5 2 2 2" xfId="16152"/>
    <cellStyle name="40% - Accent4 2 3 5 2 3" xfId="10364"/>
    <cellStyle name="40% - Accent4 2 3 5 2 3 2" xfId="18642"/>
    <cellStyle name="40% - Accent4 2 3 5 2 4" xfId="4766"/>
    <cellStyle name="40% - Accent4 2 3 5 2 5" xfId="13092"/>
    <cellStyle name="40% - Accent4 2 3 5 3" xfId="7869"/>
    <cellStyle name="40% - Accent4 2 3 5 3 2" xfId="16151"/>
    <cellStyle name="40% - Accent4 2 3 5 4" xfId="10363"/>
    <cellStyle name="40% - Accent4 2 3 5 4 2" xfId="18641"/>
    <cellStyle name="40% - Accent4 2 3 5 5" xfId="4765"/>
    <cellStyle name="40% - Accent4 2 3 5 6" xfId="13091"/>
    <cellStyle name="40% - Accent4 2 3 6" xfId="1790"/>
    <cellStyle name="40% - Accent4 2 3 6 2" xfId="1791"/>
    <cellStyle name="40% - Accent4 2 3 6 2 2" xfId="7872"/>
    <cellStyle name="40% - Accent4 2 3 6 2 2 2" xfId="16154"/>
    <cellStyle name="40% - Accent4 2 3 6 2 3" xfId="10366"/>
    <cellStyle name="40% - Accent4 2 3 6 2 3 2" xfId="18644"/>
    <cellStyle name="40% - Accent4 2 3 6 2 4" xfId="4768"/>
    <cellStyle name="40% - Accent4 2 3 6 2 5" xfId="13094"/>
    <cellStyle name="40% - Accent4 2 3 6 3" xfId="7871"/>
    <cellStyle name="40% - Accent4 2 3 6 3 2" xfId="16153"/>
    <cellStyle name="40% - Accent4 2 3 6 4" xfId="10365"/>
    <cellStyle name="40% - Accent4 2 3 6 4 2" xfId="18643"/>
    <cellStyle name="40% - Accent4 2 3 6 5" xfId="4767"/>
    <cellStyle name="40% - Accent4 2 3 6 6" xfId="13093"/>
    <cellStyle name="40% - Accent4 2 3 7" xfId="1792"/>
    <cellStyle name="40% - Accent4 2 3 7 2" xfId="7873"/>
    <cellStyle name="40% - Accent4 2 3 7 2 2" xfId="16155"/>
    <cellStyle name="40% - Accent4 2 3 7 3" xfId="10367"/>
    <cellStyle name="40% - Accent4 2 3 7 3 2" xfId="18645"/>
    <cellStyle name="40% - Accent4 2 3 7 4" xfId="4769"/>
    <cellStyle name="40% - Accent4 2 3 7 5" xfId="13095"/>
    <cellStyle name="40% - Accent4 2 3 8" xfId="1793"/>
    <cellStyle name="40% - Accent4 2 3 8 2" xfId="7874"/>
    <cellStyle name="40% - Accent4 2 3 8 2 2" xfId="16156"/>
    <cellStyle name="40% - Accent4 2 3 8 3" xfId="10368"/>
    <cellStyle name="40% - Accent4 2 3 8 3 2" xfId="18646"/>
    <cellStyle name="40% - Accent4 2 3 8 4" xfId="4770"/>
    <cellStyle name="40% - Accent4 2 3 8 5" xfId="13096"/>
    <cellStyle name="40% - Accent4 2 3 9" xfId="4771"/>
    <cellStyle name="40% - Accent4 2 3 9 2" xfId="13097"/>
    <cellStyle name="40% - Accent4 2 4" xfId="1794"/>
    <cellStyle name="40% - Accent4 2 4 10" xfId="4772"/>
    <cellStyle name="40% - Accent4 2 4 11" xfId="13098"/>
    <cellStyle name="40% - Accent4 2 4 2" xfId="1795"/>
    <cellStyle name="40% - Accent4 2 4 2 2" xfId="1796"/>
    <cellStyle name="40% - Accent4 2 4 2 2 2" xfId="7877"/>
    <cellStyle name="40% - Accent4 2 4 2 2 2 2" xfId="16159"/>
    <cellStyle name="40% - Accent4 2 4 2 2 3" xfId="10371"/>
    <cellStyle name="40% - Accent4 2 4 2 2 3 2" xfId="18649"/>
    <cellStyle name="40% - Accent4 2 4 2 2 4" xfId="4774"/>
    <cellStyle name="40% - Accent4 2 4 2 2 5" xfId="13100"/>
    <cellStyle name="40% - Accent4 2 4 2 3" xfId="7876"/>
    <cellStyle name="40% - Accent4 2 4 2 3 2" xfId="16158"/>
    <cellStyle name="40% - Accent4 2 4 2 4" xfId="10370"/>
    <cellStyle name="40% - Accent4 2 4 2 4 2" xfId="18648"/>
    <cellStyle name="40% - Accent4 2 4 2 5" xfId="4773"/>
    <cellStyle name="40% - Accent4 2 4 2 6" xfId="13099"/>
    <cellStyle name="40% - Accent4 2 4 3" xfId="1797"/>
    <cellStyle name="40% - Accent4 2 4 3 2" xfId="1798"/>
    <cellStyle name="40% - Accent4 2 4 3 2 2" xfId="7879"/>
    <cellStyle name="40% - Accent4 2 4 3 2 2 2" xfId="16161"/>
    <cellStyle name="40% - Accent4 2 4 3 2 3" xfId="10373"/>
    <cellStyle name="40% - Accent4 2 4 3 2 3 2" xfId="18651"/>
    <cellStyle name="40% - Accent4 2 4 3 2 4" xfId="4776"/>
    <cellStyle name="40% - Accent4 2 4 3 2 5" xfId="13102"/>
    <cellStyle name="40% - Accent4 2 4 3 3" xfId="7878"/>
    <cellStyle name="40% - Accent4 2 4 3 3 2" xfId="16160"/>
    <cellStyle name="40% - Accent4 2 4 3 4" xfId="10372"/>
    <cellStyle name="40% - Accent4 2 4 3 4 2" xfId="18650"/>
    <cellStyle name="40% - Accent4 2 4 3 5" xfId="4775"/>
    <cellStyle name="40% - Accent4 2 4 3 6" xfId="13101"/>
    <cellStyle name="40% - Accent4 2 4 4" xfId="1799"/>
    <cellStyle name="40% - Accent4 2 4 4 2" xfId="7880"/>
    <cellStyle name="40% - Accent4 2 4 4 2 2" xfId="16162"/>
    <cellStyle name="40% - Accent4 2 4 4 3" xfId="10374"/>
    <cellStyle name="40% - Accent4 2 4 4 3 2" xfId="18652"/>
    <cellStyle name="40% - Accent4 2 4 4 4" xfId="4777"/>
    <cellStyle name="40% - Accent4 2 4 4 5" xfId="13103"/>
    <cellStyle name="40% - Accent4 2 4 5" xfId="1800"/>
    <cellStyle name="40% - Accent4 2 4 5 2" xfId="7881"/>
    <cellStyle name="40% - Accent4 2 4 5 2 2" xfId="16163"/>
    <cellStyle name="40% - Accent4 2 4 5 3" xfId="10375"/>
    <cellStyle name="40% - Accent4 2 4 5 3 2" xfId="18653"/>
    <cellStyle name="40% - Accent4 2 4 5 4" xfId="4778"/>
    <cellStyle name="40% - Accent4 2 4 5 5" xfId="13104"/>
    <cellStyle name="40% - Accent4 2 4 6" xfId="4779"/>
    <cellStyle name="40% - Accent4 2 4 6 2" xfId="13105"/>
    <cellStyle name="40% - Accent4 2 4 7" xfId="5764"/>
    <cellStyle name="40% - Accent4 2 4 7 2" xfId="14048"/>
    <cellStyle name="40% - Accent4 2 4 8" xfId="7875"/>
    <cellStyle name="40% - Accent4 2 4 8 2" xfId="16157"/>
    <cellStyle name="40% - Accent4 2 4 9" xfId="10369"/>
    <cellStyle name="40% - Accent4 2 4 9 2" xfId="18647"/>
    <cellStyle name="40% - Accent4 2 5" xfId="1801"/>
    <cellStyle name="40% - Accent4 2 5 10" xfId="4780"/>
    <cellStyle name="40% - Accent4 2 5 11" xfId="13106"/>
    <cellStyle name="40% - Accent4 2 5 2" xfId="1802"/>
    <cellStyle name="40% - Accent4 2 5 2 2" xfId="1803"/>
    <cellStyle name="40% - Accent4 2 5 2 2 2" xfId="7884"/>
    <cellStyle name="40% - Accent4 2 5 2 2 2 2" xfId="16166"/>
    <cellStyle name="40% - Accent4 2 5 2 2 3" xfId="10378"/>
    <cellStyle name="40% - Accent4 2 5 2 2 3 2" xfId="18656"/>
    <cellStyle name="40% - Accent4 2 5 2 2 4" xfId="4782"/>
    <cellStyle name="40% - Accent4 2 5 2 2 5" xfId="13108"/>
    <cellStyle name="40% - Accent4 2 5 2 3" xfId="7883"/>
    <cellStyle name="40% - Accent4 2 5 2 3 2" xfId="16165"/>
    <cellStyle name="40% - Accent4 2 5 2 4" xfId="10377"/>
    <cellStyle name="40% - Accent4 2 5 2 4 2" xfId="18655"/>
    <cellStyle name="40% - Accent4 2 5 2 5" xfId="4781"/>
    <cellStyle name="40% - Accent4 2 5 2 6" xfId="13107"/>
    <cellStyle name="40% - Accent4 2 5 3" xfId="1804"/>
    <cellStyle name="40% - Accent4 2 5 3 2" xfId="1805"/>
    <cellStyle name="40% - Accent4 2 5 3 2 2" xfId="7886"/>
    <cellStyle name="40% - Accent4 2 5 3 2 2 2" xfId="16168"/>
    <cellStyle name="40% - Accent4 2 5 3 2 3" xfId="10380"/>
    <cellStyle name="40% - Accent4 2 5 3 2 3 2" xfId="18658"/>
    <cellStyle name="40% - Accent4 2 5 3 2 4" xfId="4784"/>
    <cellStyle name="40% - Accent4 2 5 3 2 5" xfId="13110"/>
    <cellStyle name="40% - Accent4 2 5 3 3" xfId="7885"/>
    <cellStyle name="40% - Accent4 2 5 3 3 2" xfId="16167"/>
    <cellStyle name="40% - Accent4 2 5 3 4" xfId="10379"/>
    <cellStyle name="40% - Accent4 2 5 3 4 2" xfId="18657"/>
    <cellStyle name="40% - Accent4 2 5 3 5" xfId="4783"/>
    <cellStyle name="40% - Accent4 2 5 3 6" xfId="13109"/>
    <cellStyle name="40% - Accent4 2 5 4" xfId="1806"/>
    <cellStyle name="40% - Accent4 2 5 4 2" xfId="7887"/>
    <cellStyle name="40% - Accent4 2 5 4 2 2" xfId="16169"/>
    <cellStyle name="40% - Accent4 2 5 4 3" xfId="10381"/>
    <cellStyle name="40% - Accent4 2 5 4 3 2" xfId="18659"/>
    <cellStyle name="40% - Accent4 2 5 4 4" xfId="4785"/>
    <cellStyle name="40% - Accent4 2 5 4 5" xfId="13111"/>
    <cellStyle name="40% - Accent4 2 5 5" xfId="1807"/>
    <cellStyle name="40% - Accent4 2 5 5 2" xfId="7888"/>
    <cellStyle name="40% - Accent4 2 5 5 2 2" xfId="16170"/>
    <cellStyle name="40% - Accent4 2 5 5 3" xfId="10382"/>
    <cellStyle name="40% - Accent4 2 5 5 3 2" xfId="18660"/>
    <cellStyle name="40% - Accent4 2 5 5 4" xfId="4786"/>
    <cellStyle name="40% - Accent4 2 5 5 5" xfId="13112"/>
    <cellStyle name="40% - Accent4 2 5 6" xfId="4787"/>
    <cellStyle name="40% - Accent4 2 5 6 2" xfId="13113"/>
    <cellStyle name="40% - Accent4 2 5 7" xfId="5852"/>
    <cellStyle name="40% - Accent4 2 5 7 2" xfId="14134"/>
    <cellStyle name="40% - Accent4 2 5 8" xfId="7882"/>
    <cellStyle name="40% - Accent4 2 5 8 2" xfId="16164"/>
    <cellStyle name="40% - Accent4 2 5 9" xfId="10376"/>
    <cellStyle name="40% - Accent4 2 5 9 2" xfId="18654"/>
    <cellStyle name="40% - Accent4 2 6" xfId="1808"/>
    <cellStyle name="40% - Accent4 2 6 10" xfId="4788"/>
    <cellStyle name="40% - Accent4 2 6 11" xfId="13114"/>
    <cellStyle name="40% - Accent4 2 6 2" xfId="1809"/>
    <cellStyle name="40% - Accent4 2 6 2 2" xfId="1810"/>
    <cellStyle name="40% - Accent4 2 6 2 2 2" xfId="7891"/>
    <cellStyle name="40% - Accent4 2 6 2 2 2 2" xfId="16173"/>
    <cellStyle name="40% - Accent4 2 6 2 2 3" xfId="10385"/>
    <cellStyle name="40% - Accent4 2 6 2 2 3 2" xfId="18663"/>
    <cellStyle name="40% - Accent4 2 6 2 2 4" xfId="4790"/>
    <cellStyle name="40% - Accent4 2 6 2 2 5" xfId="13116"/>
    <cellStyle name="40% - Accent4 2 6 2 3" xfId="7890"/>
    <cellStyle name="40% - Accent4 2 6 2 3 2" xfId="16172"/>
    <cellStyle name="40% - Accent4 2 6 2 4" xfId="10384"/>
    <cellStyle name="40% - Accent4 2 6 2 4 2" xfId="18662"/>
    <cellStyle name="40% - Accent4 2 6 2 5" xfId="4789"/>
    <cellStyle name="40% - Accent4 2 6 2 6" xfId="13115"/>
    <cellStyle name="40% - Accent4 2 6 3" xfId="1811"/>
    <cellStyle name="40% - Accent4 2 6 3 2" xfId="1812"/>
    <cellStyle name="40% - Accent4 2 6 3 2 2" xfId="7893"/>
    <cellStyle name="40% - Accent4 2 6 3 2 2 2" xfId="16175"/>
    <cellStyle name="40% - Accent4 2 6 3 2 3" xfId="10387"/>
    <cellStyle name="40% - Accent4 2 6 3 2 3 2" xfId="18665"/>
    <cellStyle name="40% - Accent4 2 6 3 2 4" xfId="4792"/>
    <cellStyle name="40% - Accent4 2 6 3 2 5" xfId="13118"/>
    <cellStyle name="40% - Accent4 2 6 3 3" xfId="7892"/>
    <cellStyle name="40% - Accent4 2 6 3 3 2" xfId="16174"/>
    <cellStyle name="40% - Accent4 2 6 3 4" xfId="10386"/>
    <cellStyle name="40% - Accent4 2 6 3 4 2" xfId="18664"/>
    <cellStyle name="40% - Accent4 2 6 3 5" xfId="4791"/>
    <cellStyle name="40% - Accent4 2 6 3 6" xfId="13117"/>
    <cellStyle name="40% - Accent4 2 6 4" xfId="1813"/>
    <cellStyle name="40% - Accent4 2 6 4 2" xfId="7894"/>
    <cellStyle name="40% - Accent4 2 6 4 2 2" xfId="16176"/>
    <cellStyle name="40% - Accent4 2 6 4 3" xfId="10388"/>
    <cellStyle name="40% - Accent4 2 6 4 3 2" xfId="18666"/>
    <cellStyle name="40% - Accent4 2 6 4 4" xfId="4793"/>
    <cellStyle name="40% - Accent4 2 6 4 5" xfId="13119"/>
    <cellStyle name="40% - Accent4 2 6 5" xfId="1814"/>
    <cellStyle name="40% - Accent4 2 6 5 2" xfId="7895"/>
    <cellStyle name="40% - Accent4 2 6 5 2 2" xfId="16177"/>
    <cellStyle name="40% - Accent4 2 6 5 3" xfId="10389"/>
    <cellStyle name="40% - Accent4 2 6 5 3 2" xfId="18667"/>
    <cellStyle name="40% - Accent4 2 6 5 4" xfId="4794"/>
    <cellStyle name="40% - Accent4 2 6 5 5" xfId="13120"/>
    <cellStyle name="40% - Accent4 2 6 6" xfId="4795"/>
    <cellStyle name="40% - Accent4 2 6 6 2" xfId="13121"/>
    <cellStyle name="40% - Accent4 2 6 7" xfId="5950"/>
    <cellStyle name="40% - Accent4 2 6 7 2" xfId="14232"/>
    <cellStyle name="40% - Accent4 2 6 8" xfId="7889"/>
    <cellStyle name="40% - Accent4 2 6 8 2" xfId="16171"/>
    <cellStyle name="40% - Accent4 2 6 9" xfId="10383"/>
    <cellStyle name="40% - Accent4 2 6 9 2" xfId="18661"/>
    <cellStyle name="40% - Accent4 2 7" xfId="1815"/>
    <cellStyle name="40% - Accent4 2 7 10" xfId="13122"/>
    <cellStyle name="40% - Accent4 2 7 2" xfId="1816"/>
    <cellStyle name="40% - Accent4 2 7 2 2" xfId="1817"/>
    <cellStyle name="40% - Accent4 2 7 2 2 2" xfId="7898"/>
    <cellStyle name="40% - Accent4 2 7 2 2 2 2" xfId="16180"/>
    <cellStyle name="40% - Accent4 2 7 2 2 3" xfId="10392"/>
    <cellStyle name="40% - Accent4 2 7 2 2 3 2" xfId="18670"/>
    <cellStyle name="40% - Accent4 2 7 2 2 4" xfId="4798"/>
    <cellStyle name="40% - Accent4 2 7 2 2 5" xfId="13124"/>
    <cellStyle name="40% - Accent4 2 7 2 3" xfId="7897"/>
    <cellStyle name="40% - Accent4 2 7 2 3 2" xfId="16179"/>
    <cellStyle name="40% - Accent4 2 7 2 4" xfId="10391"/>
    <cellStyle name="40% - Accent4 2 7 2 4 2" xfId="18669"/>
    <cellStyle name="40% - Accent4 2 7 2 5" xfId="4797"/>
    <cellStyle name="40% - Accent4 2 7 2 6" xfId="13123"/>
    <cellStyle name="40% - Accent4 2 7 3" xfId="1818"/>
    <cellStyle name="40% - Accent4 2 7 3 2" xfId="7899"/>
    <cellStyle name="40% - Accent4 2 7 3 2 2" xfId="16181"/>
    <cellStyle name="40% - Accent4 2 7 3 3" xfId="10393"/>
    <cellStyle name="40% - Accent4 2 7 3 3 2" xfId="18671"/>
    <cellStyle name="40% - Accent4 2 7 3 4" xfId="4799"/>
    <cellStyle name="40% - Accent4 2 7 3 5" xfId="13125"/>
    <cellStyle name="40% - Accent4 2 7 4" xfId="1819"/>
    <cellStyle name="40% - Accent4 2 7 4 2" xfId="7900"/>
    <cellStyle name="40% - Accent4 2 7 4 2 2" xfId="16182"/>
    <cellStyle name="40% - Accent4 2 7 4 3" xfId="10394"/>
    <cellStyle name="40% - Accent4 2 7 4 3 2" xfId="18672"/>
    <cellStyle name="40% - Accent4 2 7 4 4" xfId="4800"/>
    <cellStyle name="40% - Accent4 2 7 4 5" xfId="13126"/>
    <cellStyle name="40% - Accent4 2 7 5" xfId="4801"/>
    <cellStyle name="40% - Accent4 2 7 5 2" xfId="13127"/>
    <cellStyle name="40% - Accent4 2 7 6" xfId="5734"/>
    <cellStyle name="40% - Accent4 2 7 6 2" xfId="14020"/>
    <cellStyle name="40% - Accent4 2 7 7" xfId="7896"/>
    <cellStyle name="40% - Accent4 2 7 7 2" xfId="16178"/>
    <cellStyle name="40% - Accent4 2 7 8" xfId="10390"/>
    <cellStyle name="40% - Accent4 2 7 8 2" xfId="18668"/>
    <cellStyle name="40% - Accent4 2 7 9" xfId="4796"/>
    <cellStyle name="40% - Accent4 2 8" xfId="1820"/>
    <cellStyle name="40% - Accent4 2 8 2" xfId="1821"/>
    <cellStyle name="40% - Accent4 2 8 2 2" xfId="7902"/>
    <cellStyle name="40% - Accent4 2 8 2 2 2" xfId="16184"/>
    <cellStyle name="40% - Accent4 2 8 2 3" xfId="10396"/>
    <cellStyle name="40% - Accent4 2 8 2 3 2" xfId="18674"/>
    <cellStyle name="40% - Accent4 2 8 2 4" xfId="4803"/>
    <cellStyle name="40% - Accent4 2 8 2 5" xfId="13129"/>
    <cellStyle name="40% - Accent4 2 8 3" xfId="7901"/>
    <cellStyle name="40% - Accent4 2 8 3 2" xfId="16183"/>
    <cellStyle name="40% - Accent4 2 8 4" xfId="10395"/>
    <cellStyle name="40% - Accent4 2 8 4 2" xfId="18673"/>
    <cellStyle name="40% - Accent4 2 8 5" xfId="4802"/>
    <cellStyle name="40% - Accent4 2 8 6" xfId="13128"/>
    <cellStyle name="40% - Accent4 2 9" xfId="1822"/>
    <cellStyle name="40% - Accent4 2 9 2" xfId="1823"/>
    <cellStyle name="40% - Accent4 2 9 2 2" xfId="7904"/>
    <cellStyle name="40% - Accent4 2 9 2 2 2" xfId="16186"/>
    <cellStyle name="40% - Accent4 2 9 2 3" xfId="10398"/>
    <cellStyle name="40% - Accent4 2 9 2 3 2" xfId="18676"/>
    <cellStyle name="40% - Accent4 2 9 2 4" xfId="4805"/>
    <cellStyle name="40% - Accent4 2 9 2 5" xfId="13131"/>
    <cellStyle name="40% - Accent4 2 9 3" xfId="7903"/>
    <cellStyle name="40% - Accent4 2 9 3 2" xfId="16185"/>
    <cellStyle name="40% - Accent4 2 9 4" xfId="10397"/>
    <cellStyle name="40% - Accent4 2 9 4 2" xfId="18675"/>
    <cellStyle name="40% - Accent4 2 9 5" xfId="4804"/>
    <cellStyle name="40% - Accent4 2 9 6" xfId="13130"/>
    <cellStyle name="40% - Accent4 20" xfId="4683"/>
    <cellStyle name="40% - Accent4 21" xfId="13009"/>
    <cellStyle name="40% - Accent4 22" xfId="19354"/>
    <cellStyle name="40% - Accent4 3" xfId="1824"/>
    <cellStyle name="40% - Accent4 3 10" xfId="5663"/>
    <cellStyle name="40% - Accent4 3 10 2" xfId="13950"/>
    <cellStyle name="40% - Accent4 3 11" xfId="7905"/>
    <cellStyle name="40% - Accent4 3 11 2" xfId="16187"/>
    <cellStyle name="40% - Accent4 3 12" xfId="10399"/>
    <cellStyle name="40% - Accent4 3 12 2" xfId="18677"/>
    <cellStyle name="40% - Accent4 3 13" xfId="4806"/>
    <cellStyle name="40% - Accent4 3 14" xfId="13132"/>
    <cellStyle name="40% - Accent4 3 2" xfId="1825"/>
    <cellStyle name="40% - Accent4 3 2 10" xfId="4807"/>
    <cellStyle name="40% - Accent4 3 2 11" xfId="13133"/>
    <cellStyle name="40% - Accent4 3 2 2" xfId="1826"/>
    <cellStyle name="40% - Accent4 3 2 2 2" xfId="1827"/>
    <cellStyle name="40% - Accent4 3 2 2 2 2" xfId="7908"/>
    <cellStyle name="40% - Accent4 3 2 2 2 2 2" xfId="16190"/>
    <cellStyle name="40% - Accent4 3 2 2 2 3" xfId="10402"/>
    <cellStyle name="40% - Accent4 3 2 2 2 3 2" xfId="18680"/>
    <cellStyle name="40% - Accent4 3 2 2 2 4" xfId="4809"/>
    <cellStyle name="40% - Accent4 3 2 2 2 5" xfId="13135"/>
    <cellStyle name="40% - Accent4 3 2 2 3" xfId="7907"/>
    <cellStyle name="40% - Accent4 3 2 2 3 2" xfId="16189"/>
    <cellStyle name="40% - Accent4 3 2 2 4" xfId="10401"/>
    <cellStyle name="40% - Accent4 3 2 2 4 2" xfId="18679"/>
    <cellStyle name="40% - Accent4 3 2 2 5" xfId="4808"/>
    <cellStyle name="40% - Accent4 3 2 2 6" xfId="13134"/>
    <cellStyle name="40% - Accent4 3 2 3" xfId="1828"/>
    <cellStyle name="40% - Accent4 3 2 3 2" xfId="1829"/>
    <cellStyle name="40% - Accent4 3 2 3 2 2" xfId="7910"/>
    <cellStyle name="40% - Accent4 3 2 3 2 2 2" xfId="16192"/>
    <cellStyle name="40% - Accent4 3 2 3 2 3" xfId="10404"/>
    <cellStyle name="40% - Accent4 3 2 3 2 3 2" xfId="18682"/>
    <cellStyle name="40% - Accent4 3 2 3 2 4" xfId="4811"/>
    <cellStyle name="40% - Accent4 3 2 3 2 5" xfId="13137"/>
    <cellStyle name="40% - Accent4 3 2 3 3" xfId="7909"/>
    <cellStyle name="40% - Accent4 3 2 3 3 2" xfId="16191"/>
    <cellStyle name="40% - Accent4 3 2 3 4" xfId="10403"/>
    <cellStyle name="40% - Accent4 3 2 3 4 2" xfId="18681"/>
    <cellStyle name="40% - Accent4 3 2 3 5" xfId="4810"/>
    <cellStyle name="40% - Accent4 3 2 3 6" xfId="13136"/>
    <cellStyle name="40% - Accent4 3 2 4" xfId="1830"/>
    <cellStyle name="40% - Accent4 3 2 4 2" xfId="7911"/>
    <cellStyle name="40% - Accent4 3 2 4 2 2" xfId="16193"/>
    <cellStyle name="40% - Accent4 3 2 4 3" xfId="10405"/>
    <cellStyle name="40% - Accent4 3 2 4 3 2" xfId="18683"/>
    <cellStyle name="40% - Accent4 3 2 4 4" xfId="4812"/>
    <cellStyle name="40% - Accent4 3 2 4 5" xfId="13138"/>
    <cellStyle name="40% - Accent4 3 2 5" xfId="1831"/>
    <cellStyle name="40% - Accent4 3 2 5 2" xfId="7912"/>
    <cellStyle name="40% - Accent4 3 2 5 2 2" xfId="16194"/>
    <cellStyle name="40% - Accent4 3 2 5 3" xfId="10406"/>
    <cellStyle name="40% - Accent4 3 2 5 3 2" xfId="18684"/>
    <cellStyle name="40% - Accent4 3 2 5 4" xfId="4813"/>
    <cellStyle name="40% - Accent4 3 2 5 5" xfId="13139"/>
    <cellStyle name="40% - Accent4 3 2 6" xfId="4814"/>
    <cellStyle name="40% - Accent4 3 2 6 2" xfId="13140"/>
    <cellStyle name="40% - Accent4 3 2 7" xfId="5866"/>
    <cellStyle name="40% - Accent4 3 2 7 2" xfId="14148"/>
    <cellStyle name="40% - Accent4 3 2 8" xfId="7906"/>
    <cellStyle name="40% - Accent4 3 2 8 2" xfId="16188"/>
    <cellStyle name="40% - Accent4 3 2 9" xfId="10400"/>
    <cellStyle name="40% - Accent4 3 2 9 2" xfId="18678"/>
    <cellStyle name="40% - Accent4 3 3" xfId="1832"/>
    <cellStyle name="40% - Accent4 3 3 10" xfId="4815"/>
    <cellStyle name="40% - Accent4 3 3 11" xfId="13141"/>
    <cellStyle name="40% - Accent4 3 3 2" xfId="1833"/>
    <cellStyle name="40% - Accent4 3 3 2 2" xfId="1834"/>
    <cellStyle name="40% - Accent4 3 3 2 2 2" xfId="7915"/>
    <cellStyle name="40% - Accent4 3 3 2 2 2 2" xfId="16197"/>
    <cellStyle name="40% - Accent4 3 3 2 2 3" xfId="10409"/>
    <cellStyle name="40% - Accent4 3 3 2 2 3 2" xfId="18687"/>
    <cellStyle name="40% - Accent4 3 3 2 2 4" xfId="4817"/>
    <cellStyle name="40% - Accent4 3 3 2 2 5" xfId="13143"/>
    <cellStyle name="40% - Accent4 3 3 2 3" xfId="7914"/>
    <cellStyle name="40% - Accent4 3 3 2 3 2" xfId="16196"/>
    <cellStyle name="40% - Accent4 3 3 2 4" xfId="10408"/>
    <cellStyle name="40% - Accent4 3 3 2 4 2" xfId="18686"/>
    <cellStyle name="40% - Accent4 3 3 2 5" xfId="4816"/>
    <cellStyle name="40% - Accent4 3 3 2 6" xfId="13142"/>
    <cellStyle name="40% - Accent4 3 3 3" xfId="1835"/>
    <cellStyle name="40% - Accent4 3 3 3 2" xfId="1836"/>
    <cellStyle name="40% - Accent4 3 3 3 2 2" xfId="7917"/>
    <cellStyle name="40% - Accent4 3 3 3 2 2 2" xfId="16199"/>
    <cellStyle name="40% - Accent4 3 3 3 2 3" xfId="10411"/>
    <cellStyle name="40% - Accent4 3 3 3 2 3 2" xfId="18689"/>
    <cellStyle name="40% - Accent4 3 3 3 2 4" xfId="4819"/>
    <cellStyle name="40% - Accent4 3 3 3 2 5" xfId="13145"/>
    <cellStyle name="40% - Accent4 3 3 3 3" xfId="7916"/>
    <cellStyle name="40% - Accent4 3 3 3 3 2" xfId="16198"/>
    <cellStyle name="40% - Accent4 3 3 3 4" xfId="10410"/>
    <cellStyle name="40% - Accent4 3 3 3 4 2" xfId="18688"/>
    <cellStyle name="40% - Accent4 3 3 3 5" xfId="4818"/>
    <cellStyle name="40% - Accent4 3 3 3 6" xfId="13144"/>
    <cellStyle name="40% - Accent4 3 3 4" xfId="1837"/>
    <cellStyle name="40% - Accent4 3 3 4 2" xfId="7918"/>
    <cellStyle name="40% - Accent4 3 3 4 2 2" xfId="16200"/>
    <cellStyle name="40% - Accent4 3 3 4 3" xfId="10412"/>
    <cellStyle name="40% - Accent4 3 3 4 3 2" xfId="18690"/>
    <cellStyle name="40% - Accent4 3 3 4 4" xfId="4820"/>
    <cellStyle name="40% - Accent4 3 3 4 5" xfId="13146"/>
    <cellStyle name="40% - Accent4 3 3 5" xfId="1838"/>
    <cellStyle name="40% - Accent4 3 3 5 2" xfId="7919"/>
    <cellStyle name="40% - Accent4 3 3 5 2 2" xfId="16201"/>
    <cellStyle name="40% - Accent4 3 3 5 3" xfId="10413"/>
    <cellStyle name="40% - Accent4 3 3 5 3 2" xfId="18691"/>
    <cellStyle name="40% - Accent4 3 3 5 4" xfId="4821"/>
    <cellStyle name="40% - Accent4 3 3 5 5" xfId="13147"/>
    <cellStyle name="40% - Accent4 3 3 6" xfId="4822"/>
    <cellStyle name="40% - Accent4 3 3 6 2" xfId="13148"/>
    <cellStyle name="40% - Accent4 3 3 7" xfId="5964"/>
    <cellStyle name="40% - Accent4 3 3 7 2" xfId="14246"/>
    <cellStyle name="40% - Accent4 3 3 8" xfId="7913"/>
    <cellStyle name="40% - Accent4 3 3 8 2" xfId="16195"/>
    <cellStyle name="40% - Accent4 3 3 9" xfId="10407"/>
    <cellStyle name="40% - Accent4 3 3 9 2" xfId="18685"/>
    <cellStyle name="40% - Accent4 3 4" xfId="1839"/>
    <cellStyle name="40% - Accent4 3 4 10" xfId="13149"/>
    <cellStyle name="40% - Accent4 3 4 2" xfId="1840"/>
    <cellStyle name="40% - Accent4 3 4 2 2" xfId="1841"/>
    <cellStyle name="40% - Accent4 3 4 2 2 2" xfId="7922"/>
    <cellStyle name="40% - Accent4 3 4 2 2 2 2" xfId="16204"/>
    <cellStyle name="40% - Accent4 3 4 2 2 3" xfId="10416"/>
    <cellStyle name="40% - Accent4 3 4 2 2 3 2" xfId="18694"/>
    <cellStyle name="40% - Accent4 3 4 2 2 4" xfId="4825"/>
    <cellStyle name="40% - Accent4 3 4 2 2 5" xfId="13151"/>
    <cellStyle name="40% - Accent4 3 4 2 3" xfId="7921"/>
    <cellStyle name="40% - Accent4 3 4 2 3 2" xfId="16203"/>
    <cellStyle name="40% - Accent4 3 4 2 4" xfId="10415"/>
    <cellStyle name="40% - Accent4 3 4 2 4 2" xfId="18693"/>
    <cellStyle name="40% - Accent4 3 4 2 5" xfId="4824"/>
    <cellStyle name="40% - Accent4 3 4 2 6" xfId="13150"/>
    <cellStyle name="40% - Accent4 3 4 3" xfId="1842"/>
    <cellStyle name="40% - Accent4 3 4 3 2" xfId="7923"/>
    <cellStyle name="40% - Accent4 3 4 3 2 2" xfId="16205"/>
    <cellStyle name="40% - Accent4 3 4 3 3" xfId="10417"/>
    <cellStyle name="40% - Accent4 3 4 3 3 2" xfId="18695"/>
    <cellStyle name="40% - Accent4 3 4 3 4" xfId="4826"/>
    <cellStyle name="40% - Accent4 3 4 3 5" xfId="13152"/>
    <cellStyle name="40% - Accent4 3 4 4" xfId="1843"/>
    <cellStyle name="40% - Accent4 3 4 4 2" xfId="7924"/>
    <cellStyle name="40% - Accent4 3 4 4 2 2" xfId="16206"/>
    <cellStyle name="40% - Accent4 3 4 4 3" xfId="10418"/>
    <cellStyle name="40% - Accent4 3 4 4 3 2" xfId="18696"/>
    <cellStyle name="40% - Accent4 3 4 4 4" xfId="4827"/>
    <cellStyle name="40% - Accent4 3 4 4 5" xfId="13153"/>
    <cellStyle name="40% - Accent4 3 4 5" xfId="4828"/>
    <cellStyle name="40% - Accent4 3 4 5 2" xfId="13154"/>
    <cellStyle name="40% - Accent4 3 4 6" xfId="5780"/>
    <cellStyle name="40% - Accent4 3 4 6 2" xfId="14062"/>
    <cellStyle name="40% - Accent4 3 4 7" xfId="7920"/>
    <cellStyle name="40% - Accent4 3 4 7 2" xfId="16202"/>
    <cellStyle name="40% - Accent4 3 4 8" xfId="10414"/>
    <cellStyle name="40% - Accent4 3 4 8 2" xfId="18692"/>
    <cellStyle name="40% - Accent4 3 4 9" xfId="4823"/>
    <cellStyle name="40% - Accent4 3 5" xfId="1844"/>
    <cellStyle name="40% - Accent4 3 5 2" xfId="1845"/>
    <cellStyle name="40% - Accent4 3 5 2 2" xfId="7926"/>
    <cellStyle name="40% - Accent4 3 5 2 2 2" xfId="16208"/>
    <cellStyle name="40% - Accent4 3 5 2 3" xfId="10420"/>
    <cellStyle name="40% - Accent4 3 5 2 3 2" xfId="18698"/>
    <cellStyle name="40% - Accent4 3 5 2 4" xfId="4830"/>
    <cellStyle name="40% - Accent4 3 5 2 5" xfId="13156"/>
    <cellStyle name="40% - Accent4 3 5 3" xfId="7925"/>
    <cellStyle name="40% - Accent4 3 5 3 2" xfId="16207"/>
    <cellStyle name="40% - Accent4 3 5 4" xfId="10419"/>
    <cellStyle name="40% - Accent4 3 5 4 2" xfId="18697"/>
    <cellStyle name="40% - Accent4 3 5 5" xfId="4829"/>
    <cellStyle name="40% - Accent4 3 5 6" xfId="13155"/>
    <cellStyle name="40% - Accent4 3 6" xfId="1846"/>
    <cellStyle name="40% - Accent4 3 6 2" xfId="1847"/>
    <cellStyle name="40% - Accent4 3 6 2 2" xfId="7928"/>
    <cellStyle name="40% - Accent4 3 6 2 2 2" xfId="16210"/>
    <cellStyle name="40% - Accent4 3 6 2 3" xfId="10422"/>
    <cellStyle name="40% - Accent4 3 6 2 3 2" xfId="18700"/>
    <cellStyle name="40% - Accent4 3 6 2 4" xfId="4832"/>
    <cellStyle name="40% - Accent4 3 6 2 5" xfId="13158"/>
    <cellStyle name="40% - Accent4 3 6 3" xfId="7927"/>
    <cellStyle name="40% - Accent4 3 6 3 2" xfId="16209"/>
    <cellStyle name="40% - Accent4 3 6 4" xfId="10421"/>
    <cellStyle name="40% - Accent4 3 6 4 2" xfId="18699"/>
    <cellStyle name="40% - Accent4 3 6 5" xfId="4831"/>
    <cellStyle name="40% - Accent4 3 6 6" xfId="13157"/>
    <cellStyle name="40% - Accent4 3 7" xfId="1848"/>
    <cellStyle name="40% - Accent4 3 7 2" xfId="7929"/>
    <cellStyle name="40% - Accent4 3 7 2 2" xfId="16211"/>
    <cellStyle name="40% - Accent4 3 7 3" xfId="10423"/>
    <cellStyle name="40% - Accent4 3 7 3 2" xfId="18701"/>
    <cellStyle name="40% - Accent4 3 7 4" xfId="4833"/>
    <cellStyle name="40% - Accent4 3 7 5" xfId="13159"/>
    <cellStyle name="40% - Accent4 3 8" xfId="1849"/>
    <cellStyle name="40% - Accent4 3 8 2" xfId="7930"/>
    <cellStyle name="40% - Accent4 3 8 2 2" xfId="16212"/>
    <cellStyle name="40% - Accent4 3 8 3" xfId="10424"/>
    <cellStyle name="40% - Accent4 3 8 3 2" xfId="18702"/>
    <cellStyle name="40% - Accent4 3 8 4" xfId="4834"/>
    <cellStyle name="40% - Accent4 3 8 5" xfId="13160"/>
    <cellStyle name="40% - Accent4 3 9" xfId="4835"/>
    <cellStyle name="40% - Accent4 3 9 2" xfId="13161"/>
    <cellStyle name="40% - Accent4 4" xfId="1850"/>
    <cellStyle name="40% - Accent4 4 10" xfId="5692"/>
    <cellStyle name="40% - Accent4 4 10 2" xfId="13978"/>
    <cellStyle name="40% - Accent4 4 11" xfId="7931"/>
    <cellStyle name="40% - Accent4 4 11 2" xfId="16213"/>
    <cellStyle name="40% - Accent4 4 12" xfId="10425"/>
    <cellStyle name="40% - Accent4 4 12 2" xfId="18703"/>
    <cellStyle name="40% - Accent4 4 13" xfId="4836"/>
    <cellStyle name="40% - Accent4 4 14" xfId="13162"/>
    <cellStyle name="40% - Accent4 4 2" xfId="1851"/>
    <cellStyle name="40% - Accent4 4 2 10" xfId="4837"/>
    <cellStyle name="40% - Accent4 4 2 11" xfId="13163"/>
    <cellStyle name="40% - Accent4 4 2 2" xfId="1852"/>
    <cellStyle name="40% - Accent4 4 2 2 2" xfId="1853"/>
    <cellStyle name="40% - Accent4 4 2 2 2 2" xfId="7934"/>
    <cellStyle name="40% - Accent4 4 2 2 2 2 2" xfId="16216"/>
    <cellStyle name="40% - Accent4 4 2 2 2 3" xfId="10428"/>
    <cellStyle name="40% - Accent4 4 2 2 2 3 2" xfId="18706"/>
    <cellStyle name="40% - Accent4 4 2 2 2 4" xfId="4839"/>
    <cellStyle name="40% - Accent4 4 2 2 2 5" xfId="13165"/>
    <cellStyle name="40% - Accent4 4 2 2 3" xfId="7933"/>
    <cellStyle name="40% - Accent4 4 2 2 3 2" xfId="16215"/>
    <cellStyle name="40% - Accent4 4 2 2 4" xfId="10427"/>
    <cellStyle name="40% - Accent4 4 2 2 4 2" xfId="18705"/>
    <cellStyle name="40% - Accent4 4 2 2 5" xfId="4838"/>
    <cellStyle name="40% - Accent4 4 2 2 6" xfId="13164"/>
    <cellStyle name="40% - Accent4 4 2 3" xfId="1854"/>
    <cellStyle name="40% - Accent4 4 2 3 2" xfId="1855"/>
    <cellStyle name="40% - Accent4 4 2 3 2 2" xfId="7936"/>
    <cellStyle name="40% - Accent4 4 2 3 2 2 2" xfId="16218"/>
    <cellStyle name="40% - Accent4 4 2 3 2 3" xfId="10430"/>
    <cellStyle name="40% - Accent4 4 2 3 2 3 2" xfId="18708"/>
    <cellStyle name="40% - Accent4 4 2 3 2 4" xfId="4841"/>
    <cellStyle name="40% - Accent4 4 2 3 2 5" xfId="13167"/>
    <cellStyle name="40% - Accent4 4 2 3 3" xfId="7935"/>
    <cellStyle name="40% - Accent4 4 2 3 3 2" xfId="16217"/>
    <cellStyle name="40% - Accent4 4 2 3 4" xfId="10429"/>
    <cellStyle name="40% - Accent4 4 2 3 4 2" xfId="18707"/>
    <cellStyle name="40% - Accent4 4 2 3 5" xfId="4840"/>
    <cellStyle name="40% - Accent4 4 2 3 6" xfId="13166"/>
    <cellStyle name="40% - Accent4 4 2 4" xfId="1856"/>
    <cellStyle name="40% - Accent4 4 2 4 2" xfId="7937"/>
    <cellStyle name="40% - Accent4 4 2 4 2 2" xfId="16219"/>
    <cellStyle name="40% - Accent4 4 2 4 3" xfId="10431"/>
    <cellStyle name="40% - Accent4 4 2 4 3 2" xfId="18709"/>
    <cellStyle name="40% - Accent4 4 2 4 4" xfId="4842"/>
    <cellStyle name="40% - Accent4 4 2 4 5" xfId="13168"/>
    <cellStyle name="40% - Accent4 4 2 5" xfId="1857"/>
    <cellStyle name="40% - Accent4 4 2 5 2" xfId="7938"/>
    <cellStyle name="40% - Accent4 4 2 5 2 2" xfId="16220"/>
    <cellStyle name="40% - Accent4 4 2 5 3" xfId="10432"/>
    <cellStyle name="40% - Accent4 4 2 5 3 2" xfId="18710"/>
    <cellStyle name="40% - Accent4 4 2 5 4" xfId="4843"/>
    <cellStyle name="40% - Accent4 4 2 5 5" xfId="13169"/>
    <cellStyle name="40% - Accent4 4 2 6" xfId="4844"/>
    <cellStyle name="40% - Accent4 4 2 6 2" xfId="13170"/>
    <cellStyle name="40% - Accent4 4 2 7" xfId="5894"/>
    <cellStyle name="40% - Accent4 4 2 7 2" xfId="14176"/>
    <cellStyle name="40% - Accent4 4 2 8" xfId="7932"/>
    <cellStyle name="40% - Accent4 4 2 8 2" xfId="16214"/>
    <cellStyle name="40% - Accent4 4 2 9" xfId="10426"/>
    <cellStyle name="40% - Accent4 4 2 9 2" xfId="18704"/>
    <cellStyle name="40% - Accent4 4 3" xfId="1858"/>
    <cellStyle name="40% - Accent4 4 3 10" xfId="4845"/>
    <cellStyle name="40% - Accent4 4 3 11" xfId="13171"/>
    <cellStyle name="40% - Accent4 4 3 2" xfId="1859"/>
    <cellStyle name="40% - Accent4 4 3 2 2" xfId="1860"/>
    <cellStyle name="40% - Accent4 4 3 2 2 2" xfId="7941"/>
    <cellStyle name="40% - Accent4 4 3 2 2 2 2" xfId="16223"/>
    <cellStyle name="40% - Accent4 4 3 2 2 3" xfId="10435"/>
    <cellStyle name="40% - Accent4 4 3 2 2 3 2" xfId="18713"/>
    <cellStyle name="40% - Accent4 4 3 2 2 4" xfId="4847"/>
    <cellStyle name="40% - Accent4 4 3 2 2 5" xfId="13173"/>
    <cellStyle name="40% - Accent4 4 3 2 3" xfId="7940"/>
    <cellStyle name="40% - Accent4 4 3 2 3 2" xfId="16222"/>
    <cellStyle name="40% - Accent4 4 3 2 4" xfId="10434"/>
    <cellStyle name="40% - Accent4 4 3 2 4 2" xfId="18712"/>
    <cellStyle name="40% - Accent4 4 3 2 5" xfId="4846"/>
    <cellStyle name="40% - Accent4 4 3 2 6" xfId="13172"/>
    <cellStyle name="40% - Accent4 4 3 3" xfId="1861"/>
    <cellStyle name="40% - Accent4 4 3 3 2" xfId="1862"/>
    <cellStyle name="40% - Accent4 4 3 3 2 2" xfId="7943"/>
    <cellStyle name="40% - Accent4 4 3 3 2 2 2" xfId="16225"/>
    <cellStyle name="40% - Accent4 4 3 3 2 3" xfId="10437"/>
    <cellStyle name="40% - Accent4 4 3 3 2 3 2" xfId="18715"/>
    <cellStyle name="40% - Accent4 4 3 3 2 4" xfId="4849"/>
    <cellStyle name="40% - Accent4 4 3 3 2 5" xfId="13175"/>
    <cellStyle name="40% - Accent4 4 3 3 3" xfId="7942"/>
    <cellStyle name="40% - Accent4 4 3 3 3 2" xfId="16224"/>
    <cellStyle name="40% - Accent4 4 3 3 4" xfId="10436"/>
    <cellStyle name="40% - Accent4 4 3 3 4 2" xfId="18714"/>
    <cellStyle name="40% - Accent4 4 3 3 5" xfId="4848"/>
    <cellStyle name="40% - Accent4 4 3 3 6" xfId="13174"/>
    <cellStyle name="40% - Accent4 4 3 4" xfId="1863"/>
    <cellStyle name="40% - Accent4 4 3 4 2" xfId="7944"/>
    <cellStyle name="40% - Accent4 4 3 4 2 2" xfId="16226"/>
    <cellStyle name="40% - Accent4 4 3 4 3" xfId="10438"/>
    <cellStyle name="40% - Accent4 4 3 4 3 2" xfId="18716"/>
    <cellStyle name="40% - Accent4 4 3 4 4" xfId="4850"/>
    <cellStyle name="40% - Accent4 4 3 4 5" xfId="13176"/>
    <cellStyle name="40% - Accent4 4 3 5" xfId="1864"/>
    <cellStyle name="40% - Accent4 4 3 5 2" xfId="7945"/>
    <cellStyle name="40% - Accent4 4 3 5 2 2" xfId="16227"/>
    <cellStyle name="40% - Accent4 4 3 5 3" xfId="10439"/>
    <cellStyle name="40% - Accent4 4 3 5 3 2" xfId="18717"/>
    <cellStyle name="40% - Accent4 4 3 5 4" xfId="4851"/>
    <cellStyle name="40% - Accent4 4 3 5 5" xfId="13177"/>
    <cellStyle name="40% - Accent4 4 3 6" xfId="4852"/>
    <cellStyle name="40% - Accent4 4 3 6 2" xfId="13178"/>
    <cellStyle name="40% - Accent4 4 3 7" xfId="5992"/>
    <cellStyle name="40% - Accent4 4 3 7 2" xfId="14274"/>
    <cellStyle name="40% - Accent4 4 3 8" xfId="7939"/>
    <cellStyle name="40% - Accent4 4 3 8 2" xfId="16221"/>
    <cellStyle name="40% - Accent4 4 3 9" xfId="10433"/>
    <cellStyle name="40% - Accent4 4 3 9 2" xfId="18711"/>
    <cellStyle name="40% - Accent4 4 4" xfId="1865"/>
    <cellStyle name="40% - Accent4 4 4 10" xfId="13179"/>
    <cellStyle name="40% - Accent4 4 4 2" xfId="1866"/>
    <cellStyle name="40% - Accent4 4 4 2 2" xfId="1867"/>
    <cellStyle name="40% - Accent4 4 4 2 2 2" xfId="7948"/>
    <cellStyle name="40% - Accent4 4 4 2 2 2 2" xfId="16230"/>
    <cellStyle name="40% - Accent4 4 4 2 2 3" xfId="10442"/>
    <cellStyle name="40% - Accent4 4 4 2 2 3 2" xfId="18720"/>
    <cellStyle name="40% - Accent4 4 4 2 2 4" xfId="4855"/>
    <cellStyle name="40% - Accent4 4 4 2 2 5" xfId="13181"/>
    <cellStyle name="40% - Accent4 4 4 2 3" xfId="7947"/>
    <cellStyle name="40% - Accent4 4 4 2 3 2" xfId="16229"/>
    <cellStyle name="40% - Accent4 4 4 2 4" xfId="10441"/>
    <cellStyle name="40% - Accent4 4 4 2 4 2" xfId="18719"/>
    <cellStyle name="40% - Accent4 4 4 2 5" xfId="4854"/>
    <cellStyle name="40% - Accent4 4 4 2 6" xfId="13180"/>
    <cellStyle name="40% - Accent4 4 4 3" xfId="1868"/>
    <cellStyle name="40% - Accent4 4 4 3 2" xfId="7949"/>
    <cellStyle name="40% - Accent4 4 4 3 2 2" xfId="16231"/>
    <cellStyle name="40% - Accent4 4 4 3 3" xfId="10443"/>
    <cellStyle name="40% - Accent4 4 4 3 3 2" xfId="18721"/>
    <cellStyle name="40% - Accent4 4 4 3 4" xfId="4856"/>
    <cellStyle name="40% - Accent4 4 4 3 5" xfId="13182"/>
    <cellStyle name="40% - Accent4 4 4 4" xfId="1869"/>
    <cellStyle name="40% - Accent4 4 4 4 2" xfId="7950"/>
    <cellStyle name="40% - Accent4 4 4 4 2 2" xfId="16232"/>
    <cellStyle name="40% - Accent4 4 4 4 3" xfId="10444"/>
    <cellStyle name="40% - Accent4 4 4 4 3 2" xfId="18722"/>
    <cellStyle name="40% - Accent4 4 4 4 4" xfId="4857"/>
    <cellStyle name="40% - Accent4 4 4 4 5" xfId="13183"/>
    <cellStyle name="40% - Accent4 4 4 5" xfId="4858"/>
    <cellStyle name="40% - Accent4 4 4 5 2" xfId="13184"/>
    <cellStyle name="40% - Accent4 4 4 6" xfId="5808"/>
    <cellStyle name="40% - Accent4 4 4 6 2" xfId="14090"/>
    <cellStyle name="40% - Accent4 4 4 7" xfId="7946"/>
    <cellStyle name="40% - Accent4 4 4 7 2" xfId="16228"/>
    <cellStyle name="40% - Accent4 4 4 8" xfId="10440"/>
    <cellStyle name="40% - Accent4 4 4 8 2" xfId="18718"/>
    <cellStyle name="40% - Accent4 4 4 9" xfId="4853"/>
    <cellStyle name="40% - Accent4 4 5" xfId="1870"/>
    <cellStyle name="40% - Accent4 4 5 2" xfId="1871"/>
    <cellStyle name="40% - Accent4 4 5 2 2" xfId="7952"/>
    <cellStyle name="40% - Accent4 4 5 2 2 2" xfId="16234"/>
    <cellStyle name="40% - Accent4 4 5 2 3" xfId="10446"/>
    <cellStyle name="40% - Accent4 4 5 2 3 2" xfId="18724"/>
    <cellStyle name="40% - Accent4 4 5 2 4" xfId="4860"/>
    <cellStyle name="40% - Accent4 4 5 2 5" xfId="13186"/>
    <cellStyle name="40% - Accent4 4 5 3" xfId="7951"/>
    <cellStyle name="40% - Accent4 4 5 3 2" xfId="16233"/>
    <cellStyle name="40% - Accent4 4 5 4" xfId="10445"/>
    <cellStyle name="40% - Accent4 4 5 4 2" xfId="18723"/>
    <cellStyle name="40% - Accent4 4 5 5" xfId="4859"/>
    <cellStyle name="40% - Accent4 4 5 6" xfId="13185"/>
    <cellStyle name="40% - Accent4 4 6" xfId="1872"/>
    <cellStyle name="40% - Accent4 4 6 2" xfId="1873"/>
    <cellStyle name="40% - Accent4 4 6 2 2" xfId="7954"/>
    <cellStyle name="40% - Accent4 4 6 2 2 2" xfId="16236"/>
    <cellStyle name="40% - Accent4 4 6 2 3" xfId="10448"/>
    <cellStyle name="40% - Accent4 4 6 2 3 2" xfId="18726"/>
    <cellStyle name="40% - Accent4 4 6 2 4" xfId="4862"/>
    <cellStyle name="40% - Accent4 4 6 2 5" xfId="13188"/>
    <cellStyle name="40% - Accent4 4 6 3" xfId="7953"/>
    <cellStyle name="40% - Accent4 4 6 3 2" xfId="16235"/>
    <cellStyle name="40% - Accent4 4 6 4" xfId="10447"/>
    <cellStyle name="40% - Accent4 4 6 4 2" xfId="18725"/>
    <cellStyle name="40% - Accent4 4 6 5" xfId="4861"/>
    <cellStyle name="40% - Accent4 4 6 6" xfId="13187"/>
    <cellStyle name="40% - Accent4 4 7" xfId="1874"/>
    <cellStyle name="40% - Accent4 4 7 2" xfId="7955"/>
    <cellStyle name="40% - Accent4 4 7 2 2" xfId="16237"/>
    <cellStyle name="40% - Accent4 4 7 3" xfId="10449"/>
    <cellStyle name="40% - Accent4 4 7 3 2" xfId="18727"/>
    <cellStyle name="40% - Accent4 4 7 4" xfId="4863"/>
    <cellStyle name="40% - Accent4 4 7 5" xfId="13189"/>
    <cellStyle name="40% - Accent4 4 8" xfId="1875"/>
    <cellStyle name="40% - Accent4 4 8 2" xfId="7956"/>
    <cellStyle name="40% - Accent4 4 8 2 2" xfId="16238"/>
    <cellStyle name="40% - Accent4 4 8 3" xfId="10450"/>
    <cellStyle name="40% - Accent4 4 8 3 2" xfId="18728"/>
    <cellStyle name="40% - Accent4 4 8 4" xfId="4864"/>
    <cellStyle name="40% - Accent4 4 8 5" xfId="13190"/>
    <cellStyle name="40% - Accent4 4 9" xfId="4865"/>
    <cellStyle name="40% - Accent4 4 9 2" xfId="13191"/>
    <cellStyle name="40% - Accent4 5" xfId="1876"/>
    <cellStyle name="40% - Accent4 5 10" xfId="4866"/>
    <cellStyle name="40% - Accent4 5 11" xfId="13192"/>
    <cellStyle name="40% - Accent4 5 2" xfId="1877"/>
    <cellStyle name="40% - Accent4 5 2 2" xfId="1878"/>
    <cellStyle name="40% - Accent4 5 2 2 2" xfId="7959"/>
    <cellStyle name="40% - Accent4 5 2 2 2 2" xfId="16241"/>
    <cellStyle name="40% - Accent4 5 2 2 3" xfId="10453"/>
    <cellStyle name="40% - Accent4 5 2 2 3 2" xfId="18731"/>
    <cellStyle name="40% - Accent4 5 2 2 4" xfId="4868"/>
    <cellStyle name="40% - Accent4 5 2 2 5" xfId="13194"/>
    <cellStyle name="40% - Accent4 5 2 3" xfId="7958"/>
    <cellStyle name="40% - Accent4 5 2 3 2" xfId="16240"/>
    <cellStyle name="40% - Accent4 5 2 4" xfId="10452"/>
    <cellStyle name="40% - Accent4 5 2 4 2" xfId="18730"/>
    <cellStyle name="40% - Accent4 5 2 5" xfId="4867"/>
    <cellStyle name="40% - Accent4 5 2 6" xfId="13193"/>
    <cellStyle name="40% - Accent4 5 3" xfId="1879"/>
    <cellStyle name="40% - Accent4 5 3 2" xfId="1880"/>
    <cellStyle name="40% - Accent4 5 3 2 2" xfId="7961"/>
    <cellStyle name="40% - Accent4 5 3 2 2 2" xfId="16243"/>
    <cellStyle name="40% - Accent4 5 3 2 3" xfId="10455"/>
    <cellStyle name="40% - Accent4 5 3 2 3 2" xfId="18733"/>
    <cellStyle name="40% - Accent4 5 3 2 4" xfId="4870"/>
    <cellStyle name="40% - Accent4 5 3 2 5" xfId="13196"/>
    <cellStyle name="40% - Accent4 5 3 3" xfId="7960"/>
    <cellStyle name="40% - Accent4 5 3 3 2" xfId="16242"/>
    <cellStyle name="40% - Accent4 5 3 4" xfId="10454"/>
    <cellStyle name="40% - Accent4 5 3 4 2" xfId="18732"/>
    <cellStyle name="40% - Accent4 5 3 5" xfId="4869"/>
    <cellStyle name="40% - Accent4 5 3 6" xfId="13195"/>
    <cellStyle name="40% - Accent4 5 4" xfId="1881"/>
    <cellStyle name="40% - Accent4 5 4 2" xfId="7962"/>
    <cellStyle name="40% - Accent4 5 4 2 2" xfId="16244"/>
    <cellStyle name="40% - Accent4 5 4 3" xfId="10456"/>
    <cellStyle name="40% - Accent4 5 4 3 2" xfId="18734"/>
    <cellStyle name="40% - Accent4 5 4 4" xfId="4871"/>
    <cellStyle name="40% - Accent4 5 4 5" xfId="13197"/>
    <cellStyle name="40% - Accent4 5 5" xfId="1882"/>
    <cellStyle name="40% - Accent4 5 5 2" xfId="7963"/>
    <cellStyle name="40% - Accent4 5 5 2 2" xfId="16245"/>
    <cellStyle name="40% - Accent4 5 5 3" xfId="10457"/>
    <cellStyle name="40% - Accent4 5 5 3 2" xfId="18735"/>
    <cellStyle name="40% - Accent4 5 5 4" xfId="4872"/>
    <cellStyle name="40% - Accent4 5 5 5" xfId="13198"/>
    <cellStyle name="40% - Accent4 5 6" xfId="4873"/>
    <cellStyle name="40% - Accent4 5 6 2" xfId="13199"/>
    <cellStyle name="40% - Accent4 5 7" xfId="5747"/>
    <cellStyle name="40% - Accent4 5 7 2" xfId="14032"/>
    <cellStyle name="40% - Accent4 5 8" xfId="7957"/>
    <cellStyle name="40% - Accent4 5 8 2" xfId="16239"/>
    <cellStyle name="40% - Accent4 5 9" xfId="10451"/>
    <cellStyle name="40% - Accent4 5 9 2" xfId="18729"/>
    <cellStyle name="40% - Accent4 6" xfId="1883"/>
    <cellStyle name="40% - Accent4 6 10" xfId="4874"/>
    <cellStyle name="40% - Accent4 6 11" xfId="13200"/>
    <cellStyle name="40% - Accent4 6 2" xfId="1884"/>
    <cellStyle name="40% - Accent4 6 2 2" xfId="1885"/>
    <cellStyle name="40% - Accent4 6 2 2 2" xfId="7966"/>
    <cellStyle name="40% - Accent4 6 2 2 2 2" xfId="16248"/>
    <cellStyle name="40% - Accent4 6 2 2 3" xfId="10460"/>
    <cellStyle name="40% - Accent4 6 2 2 3 2" xfId="18738"/>
    <cellStyle name="40% - Accent4 6 2 2 4" xfId="4876"/>
    <cellStyle name="40% - Accent4 6 2 2 5" xfId="13202"/>
    <cellStyle name="40% - Accent4 6 2 3" xfId="7965"/>
    <cellStyle name="40% - Accent4 6 2 3 2" xfId="16247"/>
    <cellStyle name="40% - Accent4 6 2 4" xfId="10459"/>
    <cellStyle name="40% - Accent4 6 2 4 2" xfId="18737"/>
    <cellStyle name="40% - Accent4 6 2 5" xfId="4875"/>
    <cellStyle name="40% - Accent4 6 2 6" xfId="13201"/>
    <cellStyle name="40% - Accent4 6 3" xfId="1886"/>
    <cellStyle name="40% - Accent4 6 3 2" xfId="1887"/>
    <cellStyle name="40% - Accent4 6 3 2 2" xfId="7968"/>
    <cellStyle name="40% - Accent4 6 3 2 2 2" xfId="16250"/>
    <cellStyle name="40% - Accent4 6 3 2 3" xfId="10462"/>
    <cellStyle name="40% - Accent4 6 3 2 3 2" xfId="18740"/>
    <cellStyle name="40% - Accent4 6 3 2 4" xfId="4878"/>
    <cellStyle name="40% - Accent4 6 3 2 5" xfId="13204"/>
    <cellStyle name="40% - Accent4 6 3 3" xfId="7967"/>
    <cellStyle name="40% - Accent4 6 3 3 2" xfId="16249"/>
    <cellStyle name="40% - Accent4 6 3 4" xfId="10461"/>
    <cellStyle name="40% - Accent4 6 3 4 2" xfId="18739"/>
    <cellStyle name="40% - Accent4 6 3 5" xfId="4877"/>
    <cellStyle name="40% - Accent4 6 3 6" xfId="13203"/>
    <cellStyle name="40% - Accent4 6 4" xfId="1888"/>
    <cellStyle name="40% - Accent4 6 4 2" xfId="7969"/>
    <cellStyle name="40% - Accent4 6 4 2 2" xfId="16251"/>
    <cellStyle name="40% - Accent4 6 4 3" xfId="10463"/>
    <cellStyle name="40% - Accent4 6 4 3 2" xfId="18741"/>
    <cellStyle name="40% - Accent4 6 4 4" xfId="4879"/>
    <cellStyle name="40% - Accent4 6 4 5" xfId="13205"/>
    <cellStyle name="40% - Accent4 6 5" xfId="1889"/>
    <cellStyle name="40% - Accent4 6 5 2" xfId="7970"/>
    <cellStyle name="40% - Accent4 6 5 2 2" xfId="16252"/>
    <cellStyle name="40% - Accent4 6 5 3" xfId="10464"/>
    <cellStyle name="40% - Accent4 6 5 3 2" xfId="18742"/>
    <cellStyle name="40% - Accent4 6 5 4" xfId="4880"/>
    <cellStyle name="40% - Accent4 6 5 5" xfId="13206"/>
    <cellStyle name="40% - Accent4 6 6" xfId="4881"/>
    <cellStyle name="40% - Accent4 6 6 2" xfId="13207"/>
    <cellStyle name="40% - Accent4 6 7" xfId="5836"/>
    <cellStyle name="40% - Accent4 6 7 2" xfId="14118"/>
    <cellStyle name="40% - Accent4 6 8" xfId="7964"/>
    <cellStyle name="40% - Accent4 6 8 2" xfId="16246"/>
    <cellStyle name="40% - Accent4 6 9" xfId="10458"/>
    <cellStyle name="40% - Accent4 6 9 2" xfId="18736"/>
    <cellStyle name="40% - Accent4 7" xfId="1890"/>
    <cellStyle name="40% - Accent4 7 10" xfId="4882"/>
    <cellStyle name="40% - Accent4 7 11" xfId="13208"/>
    <cellStyle name="40% - Accent4 7 2" xfId="1891"/>
    <cellStyle name="40% - Accent4 7 2 2" xfId="1892"/>
    <cellStyle name="40% - Accent4 7 2 2 2" xfId="7973"/>
    <cellStyle name="40% - Accent4 7 2 2 2 2" xfId="16255"/>
    <cellStyle name="40% - Accent4 7 2 2 3" xfId="10467"/>
    <cellStyle name="40% - Accent4 7 2 2 3 2" xfId="18745"/>
    <cellStyle name="40% - Accent4 7 2 2 4" xfId="4884"/>
    <cellStyle name="40% - Accent4 7 2 2 5" xfId="13210"/>
    <cellStyle name="40% - Accent4 7 2 3" xfId="7972"/>
    <cellStyle name="40% - Accent4 7 2 3 2" xfId="16254"/>
    <cellStyle name="40% - Accent4 7 2 4" xfId="10466"/>
    <cellStyle name="40% - Accent4 7 2 4 2" xfId="18744"/>
    <cellStyle name="40% - Accent4 7 2 5" xfId="4883"/>
    <cellStyle name="40% - Accent4 7 2 6" xfId="13209"/>
    <cellStyle name="40% - Accent4 7 3" xfId="1893"/>
    <cellStyle name="40% - Accent4 7 3 2" xfId="1894"/>
    <cellStyle name="40% - Accent4 7 3 2 2" xfId="7975"/>
    <cellStyle name="40% - Accent4 7 3 2 2 2" xfId="16257"/>
    <cellStyle name="40% - Accent4 7 3 2 3" xfId="10469"/>
    <cellStyle name="40% - Accent4 7 3 2 3 2" xfId="18747"/>
    <cellStyle name="40% - Accent4 7 3 2 4" xfId="4886"/>
    <cellStyle name="40% - Accent4 7 3 2 5" xfId="13212"/>
    <cellStyle name="40% - Accent4 7 3 3" xfId="7974"/>
    <cellStyle name="40% - Accent4 7 3 3 2" xfId="16256"/>
    <cellStyle name="40% - Accent4 7 3 4" xfId="10468"/>
    <cellStyle name="40% - Accent4 7 3 4 2" xfId="18746"/>
    <cellStyle name="40% - Accent4 7 3 5" xfId="4885"/>
    <cellStyle name="40% - Accent4 7 3 6" xfId="13211"/>
    <cellStyle name="40% - Accent4 7 4" xfId="1895"/>
    <cellStyle name="40% - Accent4 7 4 2" xfId="7976"/>
    <cellStyle name="40% - Accent4 7 4 2 2" xfId="16258"/>
    <cellStyle name="40% - Accent4 7 4 3" xfId="10470"/>
    <cellStyle name="40% - Accent4 7 4 3 2" xfId="18748"/>
    <cellStyle name="40% - Accent4 7 4 4" xfId="4887"/>
    <cellStyle name="40% - Accent4 7 4 5" xfId="13213"/>
    <cellStyle name="40% - Accent4 7 5" xfId="1896"/>
    <cellStyle name="40% - Accent4 7 5 2" xfId="7977"/>
    <cellStyle name="40% - Accent4 7 5 2 2" xfId="16259"/>
    <cellStyle name="40% - Accent4 7 5 3" xfId="10471"/>
    <cellStyle name="40% - Accent4 7 5 3 2" xfId="18749"/>
    <cellStyle name="40% - Accent4 7 5 4" xfId="4888"/>
    <cellStyle name="40% - Accent4 7 5 5" xfId="13214"/>
    <cellStyle name="40% - Accent4 7 6" xfId="4889"/>
    <cellStyle name="40% - Accent4 7 6 2" xfId="13215"/>
    <cellStyle name="40% - Accent4 7 7" xfId="5922"/>
    <cellStyle name="40% - Accent4 7 7 2" xfId="14204"/>
    <cellStyle name="40% - Accent4 7 8" xfId="7971"/>
    <cellStyle name="40% - Accent4 7 8 2" xfId="16253"/>
    <cellStyle name="40% - Accent4 7 9" xfId="10465"/>
    <cellStyle name="40% - Accent4 7 9 2" xfId="18743"/>
    <cellStyle name="40% - Accent4 8" xfId="1897"/>
    <cellStyle name="40% - Accent4 8 10" xfId="4890"/>
    <cellStyle name="40% - Accent4 8 11" xfId="13216"/>
    <cellStyle name="40% - Accent4 8 2" xfId="1898"/>
    <cellStyle name="40% - Accent4 8 2 2" xfId="1899"/>
    <cellStyle name="40% - Accent4 8 2 2 2" xfId="7980"/>
    <cellStyle name="40% - Accent4 8 2 2 2 2" xfId="16262"/>
    <cellStyle name="40% - Accent4 8 2 2 3" xfId="10474"/>
    <cellStyle name="40% - Accent4 8 2 2 3 2" xfId="18752"/>
    <cellStyle name="40% - Accent4 8 2 2 4" xfId="4892"/>
    <cellStyle name="40% - Accent4 8 2 2 5" xfId="13218"/>
    <cellStyle name="40% - Accent4 8 2 3" xfId="7979"/>
    <cellStyle name="40% - Accent4 8 2 3 2" xfId="16261"/>
    <cellStyle name="40% - Accent4 8 2 4" xfId="10473"/>
    <cellStyle name="40% - Accent4 8 2 4 2" xfId="18751"/>
    <cellStyle name="40% - Accent4 8 2 5" xfId="4891"/>
    <cellStyle name="40% - Accent4 8 2 6" xfId="13217"/>
    <cellStyle name="40% - Accent4 8 3" xfId="1900"/>
    <cellStyle name="40% - Accent4 8 3 2" xfId="1901"/>
    <cellStyle name="40% - Accent4 8 3 2 2" xfId="7982"/>
    <cellStyle name="40% - Accent4 8 3 2 2 2" xfId="16264"/>
    <cellStyle name="40% - Accent4 8 3 2 3" xfId="10476"/>
    <cellStyle name="40% - Accent4 8 3 2 3 2" xfId="18754"/>
    <cellStyle name="40% - Accent4 8 3 2 4" xfId="4894"/>
    <cellStyle name="40% - Accent4 8 3 2 5" xfId="13220"/>
    <cellStyle name="40% - Accent4 8 3 3" xfId="7981"/>
    <cellStyle name="40% - Accent4 8 3 3 2" xfId="16263"/>
    <cellStyle name="40% - Accent4 8 3 4" xfId="10475"/>
    <cellStyle name="40% - Accent4 8 3 4 2" xfId="18753"/>
    <cellStyle name="40% - Accent4 8 3 5" xfId="4893"/>
    <cellStyle name="40% - Accent4 8 3 6" xfId="13219"/>
    <cellStyle name="40% - Accent4 8 4" xfId="1902"/>
    <cellStyle name="40% - Accent4 8 4 2" xfId="7983"/>
    <cellStyle name="40% - Accent4 8 4 2 2" xfId="16265"/>
    <cellStyle name="40% - Accent4 8 4 3" xfId="10477"/>
    <cellStyle name="40% - Accent4 8 4 3 2" xfId="18755"/>
    <cellStyle name="40% - Accent4 8 4 4" xfId="4895"/>
    <cellStyle name="40% - Accent4 8 4 5" xfId="13221"/>
    <cellStyle name="40% - Accent4 8 5" xfId="1903"/>
    <cellStyle name="40% - Accent4 8 5 2" xfId="7984"/>
    <cellStyle name="40% - Accent4 8 5 2 2" xfId="16266"/>
    <cellStyle name="40% - Accent4 8 5 3" xfId="10478"/>
    <cellStyle name="40% - Accent4 8 5 3 2" xfId="18756"/>
    <cellStyle name="40% - Accent4 8 5 4" xfId="4896"/>
    <cellStyle name="40% - Accent4 8 5 5" xfId="13222"/>
    <cellStyle name="40% - Accent4 8 6" xfId="4897"/>
    <cellStyle name="40% - Accent4 8 6 2" xfId="13223"/>
    <cellStyle name="40% - Accent4 8 7" xfId="5934"/>
    <cellStyle name="40% - Accent4 8 7 2" xfId="14216"/>
    <cellStyle name="40% - Accent4 8 8" xfId="7978"/>
    <cellStyle name="40% - Accent4 8 8 2" xfId="16260"/>
    <cellStyle name="40% - Accent4 8 9" xfId="10472"/>
    <cellStyle name="40% - Accent4 8 9 2" xfId="18750"/>
    <cellStyle name="40% - Accent4 9" xfId="1904"/>
    <cellStyle name="40% - Accent4 9 10" xfId="4898"/>
    <cellStyle name="40% - Accent4 9 11" xfId="13224"/>
    <cellStyle name="40% - Accent4 9 2" xfId="1905"/>
    <cellStyle name="40% - Accent4 9 2 2" xfId="1906"/>
    <cellStyle name="40% - Accent4 9 2 2 2" xfId="7987"/>
    <cellStyle name="40% - Accent4 9 2 2 2 2" xfId="16269"/>
    <cellStyle name="40% - Accent4 9 2 2 3" xfId="10481"/>
    <cellStyle name="40% - Accent4 9 2 2 3 2" xfId="18759"/>
    <cellStyle name="40% - Accent4 9 2 2 4" xfId="4900"/>
    <cellStyle name="40% - Accent4 9 2 2 5" xfId="13226"/>
    <cellStyle name="40% - Accent4 9 2 3" xfId="7986"/>
    <cellStyle name="40% - Accent4 9 2 3 2" xfId="16268"/>
    <cellStyle name="40% - Accent4 9 2 4" xfId="10480"/>
    <cellStyle name="40% - Accent4 9 2 4 2" xfId="18758"/>
    <cellStyle name="40% - Accent4 9 2 5" xfId="4899"/>
    <cellStyle name="40% - Accent4 9 2 6" xfId="13225"/>
    <cellStyle name="40% - Accent4 9 3" xfId="1907"/>
    <cellStyle name="40% - Accent4 9 3 2" xfId="1908"/>
    <cellStyle name="40% - Accent4 9 3 2 2" xfId="7989"/>
    <cellStyle name="40% - Accent4 9 3 2 2 2" xfId="16271"/>
    <cellStyle name="40% - Accent4 9 3 2 3" xfId="10483"/>
    <cellStyle name="40% - Accent4 9 3 2 3 2" xfId="18761"/>
    <cellStyle name="40% - Accent4 9 3 2 4" xfId="4902"/>
    <cellStyle name="40% - Accent4 9 3 2 5" xfId="13228"/>
    <cellStyle name="40% - Accent4 9 3 3" xfId="7988"/>
    <cellStyle name="40% - Accent4 9 3 3 2" xfId="16270"/>
    <cellStyle name="40% - Accent4 9 3 4" xfId="10482"/>
    <cellStyle name="40% - Accent4 9 3 4 2" xfId="18760"/>
    <cellStyle name="40% - Accent4 9 3 5" xfId="4901"/>
    <cellStyle name="40% - Accent4 9 3 6" xfId="13227"/>
    <cellStyle name="40% - Accent4 9 4" xfId="1909"/>
    <cellStyle name="40% - Accent4 9 4 2" xfId="7990"/>
    <cellStyle name="40% - Accent4 9 4 2 2" xfId="16272"/>
    <cellStyle name="40% - Accent4 9 4 3" xfId="10484"/>
    <cellStyle name="40% - Accent4 9 4 3 2" xfId="18762"/>
    <cellStyle name="40% - Accent4 9 4 4" xfId="4903"/>
    <cellStyle name="40% - Accent4 9 4 5" xfId="13229"/>
    <cellStyle name="40% - Accent4 9 5" xfId="1910"/>
    <cellStyle name="40% - Accent4 9 5 2" xfId="7991"/>
    <cellStyle name="40% - Accent4 9 5 2 2" xfId="16273"/>
    <cellStyle name="40% - Accent4 9 5 3" xfId="10485"/>
    <cellStyle name="40% - Accent4 9 5 3 2" xfId="18763"/>
    <cellStyle name="40% - Accent4 9 5 4" xfId="4904"/>
    <cellStyle name="40% - Accent4 9 5 5" xfId="13230"/>
    <cellStyle name="40% - Accent4 9 6" xfId="4905"/>
    <cellStyle name="40% - Accent4 9 6 2" xfId="13231"/>
    <cellStyle name="40% - Accent4 9 7" xfId="6020"/>
    <cellStyle name="40% - Accent4 9 7 2" xfId="14302"/>
    <cellStyle name="40% - Accent4 9 8" xfId="7985"/>
    <cellStyle name="40% - Accent4 9 8 2" xfId="16267"/>
    <cellStyle name="40% - Accent4 9 9" xfId="10479"/>
    <cellStyle name="40% - Accent4 9 9 2" xfId="18757"/>
    <cellStyle name="40% - Accent5" xfId="1911" builtinId="47" customBuiltin="1"/>
    <cellStyle name="40% - Accent5 10" xfId="1912"/>
    <cellStyle name="40% - Accent5 10 10" xfId="4907"/>
    <cellStyle name="40% - Accent5 10 11" xfId="13233"/>
    <cellStyle name="40% - Accent5 10 2" xfId="1913"/>
    <cellStyle name="40% - Accent5 10 2 2" xfId="1914"/>
    <cellStyle name="40% - Accent5 10 2 2 2" xfId="7995"/>
    <cellStyle name="40% - Accent5 10 2 2 2 2" xfId="16277"/>
    <cellStyle name="40% - Accent5 10 2 2 3" xfId="10489"/>
    <cellStyle name="40% - Accent5 10 2 2 3 2" xfId="18767"/>
    <cellStyle name="40% - Accent5 10 2 2 4" xfId="4909"/>
    <cellStyle name="40% - Accent5 10 2 2 5" xfId="13235"/>
    <cellStyle name="40% - Accent5 10 2 3" xfId="7994"/>
    <cellStyle name="40% - Accent5 10 2 3 2" xfId="16276"/>
    <cellStyle name="40% - Accent5 10 2 4" xfId="10488"/>
    <cellStyle name="40% - Accent5 10 2 4 2" xfId="18766"/>
    <cellStyle name="40% - Accent5 10 2 5" xfId="4908"/>
    <cellStyle name="40% - Accent5 10 2 6" xfId="13234"/>
    <cellStyle name="40% - Accent5 10 3" xfId="1915"/>
    <cellStyle name="40% - Accent5 10 3 2" xfId="1916"/>
    <cellStyle name="40% - Accent5 10 3 2 2" xfId="7997"/>
    <cellStyle name="40% - Accent5 10 3 2 2 2" xfId="16279"/>
    <cellStyle name="40% - Accent5 10 3 2 3" xfId="10491"/>
    <cellStyle name="40% - Accent5 10 3 2 3 2" xfId="18769"/>
    <cellStyle name="40% - Accent5 10 3 2 4" xfId="4911"/>
    <cellStyle name="40% - Accent5 10 3 2 5" xfId="13237"/>
    <cellStyle name="40% - Accent5 10 3 3" xfId="7996"/>
    <cellStyle name="40% - Accent5 10 3 3 2" xfId="16278"/>
    <cellStyle name="40% - Accent5 10 3 4" xfId="10490"/>
    <cellStyle name="40% - Accent5 10 3 4 2" xfId="18768"/>
    <cellStyle name="40% - Accent5 10 3 5" xfId="4910"/>
    <cellStyle name="40% - Accent5 10 3 6" xfId="13236"/>
    <cellStyle name="40% - Accent5 10 4" xfId="1917"/>
    <cellStyle name="40% - Accent5 10 4 2" xfId="7998"/>
    <cellStyle name="40% - Accent5 10 4 2 2" xfId="16280"/>
    <cellStyle name="40% - Accent5 10 4 3" xfId="10492"/>
    <cellStyle name="40% - Accent5 10 4 3 2" xfId="18770"/>
    <cellStyle name="40% - Accent5 10 4 4" xfId="4912"/>
    <cellStyle name="40% - Accent5 10 4 5" xfId="13238"/>
    <cellStyle name="40% - Accent5 10 5" xfId="1918"/>
    <cellStyle name="40% - Accent5 10 5 2" xfId="7999"/>
    <cellStyle name="40% - Accent5 10 5 2 2" xfId="16281"/>
    <cellStyle name="40% - Accent5 10 5 3" xfId="10493"/>
    <cellStyle name="40% - Accent5 10 5 3 2" xfId="18771"/>
    <cellStyle name="40% - Accent5 10 5 4" xfId="4913"/>
    <cellStyle name="40% - Accent5 10 5 5" xfId="13239"/>
    <cellStyle name="40% - Accent5 10 6" xfId="4914"/>
    <cellStyle name="40% - Accent5 10 6 2" xfId="13240"/>
    <cellStyle name="40% - Accent5 10 7" xfId="6036"/>
    <cellStyle name="40% - Accent5 10 7 2" xfId="14318"/>
    <cellStyle name="40% - Accent5 10 8" xfId="7993"/>
    <cellStyle name="40% - Accent5 10 8 2" xfId="16275"/>
    <cellStyle name="40% - Accent5 10 9" xfId="10487"/>
    <cellStyle name="40% - Accent5 10 9 2" xfId="18765"/>
    <cellStyle name="40% - Accent5 11" xfId="1919"/>
    <cellStyle name="40% - Accent5 11 10" xfId="13241"/>
    <cellStyle name="40% - Accent5 11 2" xfId="1920"/>
    <cellStyle name="40% - Accent5 11 2 2" xfId="1921"/>
    <cellStyle name="40% - Accent5 11 2 2 2" xfId="8002"/>
    <cellStyle name="40% - Accent5 11 2 2 2 2" xfId="16284"/>
    <cellStyle name="40% - Accent5 11 2 2 3" xfId="10496"/>
    <cellStyle name="40% - Accent5 11 2 2 3 2" xfId="18774"/>
    <cellStyle name="40% - Accent5 11 2 2 4" xfId="4917"/>
    <cellStyle name="40% - Accent5 11 2 2 5" xfId="13243"/>
    <cellStyle name="40% - Accent5 11 2 3" xfId="8001"/>
    <cellStyle name="40% - Accent5 11 2 3 2" xfId="16283"/>
    <cellStyle name="40% - Accent5 11 2 4" xfId="10495"/>
    <cellStyle name="40% - Accent5 11 2 4 2" xfId="18773"/>
    <cellStyle name="40% - Accent5 11 2 5" xfId="4916"/>
    <cellStyle name="40% - Accent5 11 2 6" xfId="13242"/>
    <cellStyle name="40% - Accent5 11 3" xfId="1922"/>
    <cellStyle name="40% - Accent5 11 3 2" xfId="8003"/>
    <cellStyle name="40% - Accent5 11 3 2 2" xfId="16285"/>
    <cellStyle name="40% - Accent5 11 3 3" xfId="10497"/>
    <cellStyle name="40% - Accent5 11 3 3 2" xfId="18775"/>
    <cellStyle name="40% - Accent5 11 3 4" xfId="4918"/>
    <cellStyle name="40% - Accent5 11 3 5" xfId="13244"/>
    <cellStyle name="40% - Accent5 11 4" xfId="1923"/>
    <cellStyle name="40% - Accent5 11 4 2" xfId="8004"/>
    <cellStyle name="40% - Accent5 11 4 2 2" xfId="16286"/>
    <cellStyle name="40% - Accent5 11 4 3" xfId="10498"/>
    <cellStyle name="40% - Accent5 11 4 3 2" xfId="18776"/>
    <cellStyle name="40% - Accent5 11 4 4" xfId="4919"/>
    <cellStyle name="40% - Accent5 11 4 5" xfId="13245"/>
    <cellStyle name="40% - Accent5 11 5" xfId="4920"/>
    <cellStyle name="40% - Accent5 11 5 2" xfId="13246"/>
    <cellStyle name="40% - Accent5 11 6" xfId="5721"/>
    <cellStyle name="40% - Accent5 11 6 2" xfId="14007"/>
    <cellStyle name="40% - Accent5 11 7" xfId="8000"/>
    <cellStyle name="40% - Accent5 11 7 2" xfId="16282"/>
    <cellStyle name="40% - Accent5 11 8" xfId="10494"/>
    <cellStyle name="40% - Accent5 11 8 2" xfId="18772"/>
    <cellStyle name="40% - Accent5 11 9" xfId="4915"/>
    <cellStyle name="40% - Accent5 12" xfId="1924"/>
    <cellStyle name="40% - Accent5 12 2" xfId="1925"/>
    <cellStyle name="40% - Accent5 12 2 2" xfId="8006"/>
    <cellStyle name="40% - Accent5 12 2 2 2" xfId="16288"/>
    <cellStyle name="40% - Accent5 12 2 3" xfId="10500"/>
    <cellStyle name="40% - Accent5 12 2 3 2" xfId="18778"/>
    <cellStyle name="40% - Accent5 12 2 4" xfId="4922"/>
    <cellStyle name="40% - Accent5 12 2 5" xfId="13248"/>
    <cellStyle name="40% - Accent5 12 3" xfId="4923"/>
    <cellStyle name="40% - Accent5 12 3 2" xfId="13249"/>
    <cellStyle name="40% - Accent5 12 4" xfId="6051"/>
    <cellStyle name="40% - Accent5 12 4 2" xfId="14333"/>
    <cellStyle name="40% - Accent5 12 5" xfId="8005"/>
    <cellStyle name="40% - Accent5 12 5 2" xfId="16287"/>
    <cellStyle name="40% - Accent5 12 6" xfId="10499"/>
    <cellStyle name="40% - Accent5 12 6 2" xfId="18777"/>
    <cellStyle name="40% - Accent5 12 7" xfId="4921"/>
    <cellStyle name="40% - Accent5 12 8" xfId="13247"/>
    <cellStyle name="40% - Accent5 13" xfId="1926"/>
    <cellStyle name="40% - Accent5 13 2" xfId="1927"/>
    <cellStyle name="40% - Accent5 13 2 2" xfId="8008"/>
    <cellStyle name="40% - Accent5 13 2 2 2" xfId="16290"/>
    <cellStyle name="40% - Accent5 13 2 3" xfId="10502"/>
    <cellStyle name="40% - Accent5 13 2 3 2" xfId="18780"/>
    <cellStyle name="40% - Accent5 13 2 4" xfId="4925"/>
    <cellStyle name="40% - Accent5 13 2 5" xfId="13251"/>
    <cellStyle name="40% - Accent5 13 3" xfId="4926"/>
    <cellStyle name="40% - Accent5 13 3 2" xfId="13252"/>
    <cellStyle name="40% - Accent5 13 4" xfId="6065"/>
    <cellStyle name="40% - Accent5 13 4 2" xfId="14347"/>
    <cellStyle name="40% - Accent5 13 5" xfId="8007"/>
    <cellStyle name="40% - Accent5 13 5 2" xfId="16289"/>
    <cellStyle name="40% - Accent5 13 6" xfId="10501"/>
    <cellStyle name="40% - Accent5 13 6 2" xfId="18779"/>
    <cellStyle name="40% - Accent5 13 7" xfId="4924"/>
    <cellStyle name="40% - Accent5 13 8" xfId="13250"/>
    <cellStyle name="40% - Accent5 14" xfId="1928"/>
    <cellStyle name="40% - Accent5 14 2" xfId="4928"/>
    <cellStyle name="40% - Accent5 14 2 2" xfId="13254"/>
    <cellStyle name="40% - Accent5 14 3" xfId="6079"/>
    <cellStyle name="40% - Accent5 14 3 2" xfId="14361"/>
    <cellStyle name="40% - Accent5 14 4" xfId="8009"/>
    <cellStyle name="40% - Accent5 14 4 2" xfId="16291"/>
    <cellStyle name="40% - Accent5 14 5" xfId="10503"/>
    <cellStyle name="40% - Accent5 14 5 2" xfId="18781"/>
    <cellStyle name="40% - Accent5 14 6" xfId="4927"/>
    <cellStyle name="40% - Accent5 14 7" xfId="13253"/>
    <cellStyle name="40% - Accent5 15" xfId="1929"/>
    <cellStyle name="40% - Accent5 15 2" xfId="8010"/>
    <cellStyle name="40% - Accent5 15 2 2" xfId="16292"/>
    <cellStyle name="40% - Accent5 15 3" xfId="10504"/>
    <cellStyle name="40% - Accent5 15 3 2" xfId="18782"/>
    <cellStyle name="40% - Accent5 15 4" xfId="4929"/>
    <cellStyle name="40% - Accent5 15 5" xfId="13255"/>
    <cellStyle name="40% - Accent5 16" xfId="4930"/>
    <cellStyle name="40% - Accent5 16 2" xfId="13256"/>
    <cellStyle name="40% - Accent5 17" xfId="5632"/>
    <cellStyle name="40% - Accent5 17 2" xfId="13922"/>
    <cellStyle name="40% - Accent5 18" xfId="7992"/>
    <cellStyle name="40% - Accent5 18 2" xfId="16274"/>
    <cellStyle name="40% - Accent5 19" xfId="10486"/>
    <cellStyle name="40% - Accent5 19 2" xfId="18764"/>
    <cellStyle name="40% - Accent5 2" xfId="1930"/>
    <cellStyle name="40% - Accent5 2 10" xfId="1931"/>
    <cellStyle name="40% - Accent5 2 10 2" xfId="8012"/>
    <cellStyle name="40% - Accent5 2 10 2 2" xfId="16294"/>
    <cellStyle name="40% - Accent5 2 10 3" xfId="10506"/>
    <cellStyle name="40% - Accent5 2 10 3 2" xfId="18784"/>
    <cellStyle name="40% - Accent5 2 10 4" xfId="4932"/>
    <cellStyle name="40% - Accent5 2 10 5" xfId="13258"/>
    <cellStyle name="40% - Accent5 2 11" xfId="1932"/>
    <cellStyle name="40% - Accent5 2 11 2" xfId="8013"/>
    <cellStyle name="40% - Accent5 2 11 2 2" xfId="16295"/>
    <cellStyle name="40% - Accent5 2 11 3" xfId="10507"/>
    <cellStyle name="40% - Accent5 2 11 3 2" xfId="18785"/>
    <cellStyle name="40% - Accent5 2 11 4" xfId="4933"/>
    <cellStyle name="40% - Accent5 2 11 5" xfId="13259"/>
    <cellStyle name="40% - Accent5 2 12" xfId="4934"/>
    <cellStyle name="40% - Accent5 2 12 2" xfId="13260"/>
    <cellStyle name="40% - Accent5 2 13" xfId="5648"/>
    <cellStyle name="40% - Accent5 2 13 2" xfId="13937"/>
    <cellStyle name="40% - Accent5 2 14" xfId="8011"/>
    <cellStyle name="40% - Accent5 2 14 2" xfId="16293"/>
    <cellStyle name="40% - Accent5 2 15" xfId="10505"/>
    <cellStyle name="40% - Accent5 2 15 2" xfId="18783"/>
    <cellStyle name="40% - Accent5 2 16" xfId="4931"/>
    <cellStyle name="40% - Accent5 2 17" xfId="13257"/>
    <cellStyle name="40% - Accent5 2 2" xfId="1933"/>
    <cellStyle name="40% - Accent5 2 2 10" xfId="5680"/>
    <cellStyle name="40% - Accent5 2 2 10 2" xfId="13966"/>
    <cellStyle name="40% - Accent5 2 2 11" xfId="8014"/>
    <cellStyle name="40% - Accent5 2 2 11 2" xfId="16296"/>
    <cellStyle name="40% - Accent5 2 2 12" xfId="10508"/>
    <cellStyle name="40% - Accent5 2 2 12 2" xfId="18786"/>
    <cellStyle name="40% - Accent5 2 2 13" xfId="4935"/>
    <cellStyle name="40% - Accent5 2 2 14" xfId="13261"/>
    <cellStyle name="40% - Accent5 2 2 2" xfId="1934"/>
    <cellStyle name="40% - Accent5 2 2 2 10" xfId="4936"/>
    <cellStyle name="40% - Accent5 2 2 2 11" xfId="13262"/>
    <cellStyle name="40% - Accent5 2 2 2 2" xfId="1935"/>
    <cellStyle name="40% - Accent5 2 2 2 2 2" xfId="1936"/>
    <cellStyle name="40% - Accent5 2 2 2 2 2 2" xfId="8017"/>
    <cellStyle name="40% - Accent5 2 2 2 2 2 2 2" xfId="16299"/>
    <cellStyle name="40% - Accent5 2 2 2 2 2 3" xfId="10511"/>
    <cellStyle name="40% - Accent5 2 2 2 2 2 3 2" xfId="18789"/>
    <cellStyle name="40% - Accent5 2 2 2 2 2 4" xfId="4938"/>
    <cellStyle name="40% - Accent5 2 2 2 2 2 5" xfId="13264"/>
    <cellStyle name="40% - Accent5 2 2 2 2 3" xfId="8016"/>
    <cellStyle name="40% - Accent5 2 2 2 2 3 2" xfId="16298"/>
    <cellStyle name="40% - Accent5 2 2 2 2 4" xfId="10510"/>
    <cellStyle name="40% - Accent5 2 2 2 2 4 2" xfId="18788"/>
    <cellStyle name="40% - Accent5 2 2 2 2 5" xfId="4937"/>
    <cellStyle name="40% - Accent5 2 2 2 2 6" xfId="13263"/>
    <cellStyle name="40% - Accent5 2 2 2 3" xfId="1937"/>
    <cellStyle name="40% - Accent5 2 2 2 3 2" xfId="1938"/>
    <cellStyle name="40% - Accent5 2 2 2 3 2 2" xfId="8019"/>
    <cellStyle name="40% - Accent5 2 2 2 3 2 2 2" xfId="16301"/>
    <cellStyle name="40% - Accent5 2 2 2 3 2 3" xfId="10513"/>
    <cellStyle name="40% - Accent5 2 2 2 3 2 3 2" xfId="18791"/>
    <cellStyle name="40% - Accent5 2 2 2 3 2 4" xfId="4940"/>
    <cellStyle name="40% - Accent5 2 2 2 3 2 5" xfId="13266"/>
    <cellStyle name="40% - Accent5 2 2 2 3 3" xfId="8018"/>
    <cellStyle name="40% - Accent5 2 2 2 3 3 2" xfId="16300"/>
    <cellStyle name="40% - Accent5 2 2 2 3 4" xfId="10512"/>
    <cellStyle name="40% - Accent5 2 2 2 3 4 2" xfId="18790"/>
    <cellStyle name="40% - Accent5 2 2 2 3 5" xfId="4939"/>
    <cellStyle name="40% - Accent5 2 2 2 3 6" xfId="13265"/>
    <cellStyle name="40% - Accent5 2 2 2 4" xfId="1939"/>
    <cellStyle name="40% - Accent5 2 2 2 4 2" xfId="8020"/>
    <cellStyle name="40% - Accent5 2 2 2 4 2 2" xfId="16302"/>
    <cellStyle name="40% - Accent5 2 2 2 4 3" xfId="10514"/>
    <cellStyle name="40% - Accent5 2 2 2 4 3 2" xfId="18792"/>
    <cellStyle name="40% - Accent5 2 2 2 4 4" xfId="4941"/>
    <cellStyle name="40% - Accent5 2 2 2 4 5" xfId="13267"/>
    <cellStyle name="40% - Accent5 2 2 2 5" xfId="1940"/>
    <cellStyle name="40% - Accent5 2 2 2 5 2" xfId="8021"/>
    <cellStyle name="40% - Accent5 2 2 2 5 2 2" xfId="16303"/>
    <cellStyle name="40% - Accent5 2 2 2 5 3" xfId="10515"/>
    <cellStyle name="40% - Accent5 2 2 2 5 3 2" xfId="18793"/>
    <cellStyle name="40% - Accent5 2 2 2 5 4" xfId="4942"/>
    <cellStyle name="40% - Accent5 2 2 2 5 5" xfId="13268"/>
    <cellStyle name="40% - Accent5 2 2 2 6" xfId="4943"/>
    <cellStyle name="40% - Accent5 2 2 2 6 2" xfId="13269"/>
    <cellStyle name="40% - Accent5 2 2 2 7" xfId="5882"/>
    <cellStyle name="40% - Accent5 2 2 2 7 2" xfId="14164"/>
    <cellStyle name="40% - Accent5 2 2 2 8" xfId="8015"/>
    <cellStyle name="40% - Accent5 2 2 2 8 2" xfId="16297"/>
    <cellStyle name="40% - Accent5 2 2 2 9" xfId="10509"/>
    <cellStyle name="40% - Accent5 2 2 2 9 2" xfId="18787"/>
    <cellStyle name="40% - Accent5 2 2 3" xfId="1941"/>
    <cellStyle name="40% - Accent5 2 2 3 10" xfId="4944"/>
    <cellStyle name="40% - Accent5 2 2 3 11" xfId="13270"/>
    <cellStyle name="40% - Accent5 2 2 3 2" xfId="1942"/>
    <cellStyle name="40% - Accent5 2 2 3 2 2" xfId="1943"/>
    <cellStyle name="40% - Accent5 2 2 3 2 2 2" xfId="8024"/>
    <cellStyle name="40% - Accent5 2 2 3 2 2 2 2" xfId="16306"/>
    <cellStyle name="40% - Accent5 2 2 3 2 2 3" xfId="10518"/>
    <cellStyle name="40% - Accent5 2 2 3 2 2 3 2" xfId="18796"/>
    <cellStyle name="40% - Accent5 2 2 3 2 2 4" xfId="4946"/>
    <cellStyle name="40% - Accent5 2 2 3 2 2 5" xfId="13272"/>
    <cellStyle name="40% - Accent5 2 2 3 2 3" xfId="8023"/>
    <cellStyle name="40% - Accent5 2 2 3 2 3 2" xfId="16305"/>
    <cellStyle name="40% - Accent5 2 2 3 2 4" xfId="10517"/>
    <cellStyle name="40% - Accent5 2 2 3 2 4 2" xfId="18795"/>
    <cellStyle name="40% - Accent5 2 2 3 2 5" xfId="4945"/>
    <cellStyle name="40% - Accent5 2 2 3 2 6" xfId="13271"/>
    <cellStyle name="40% - Accent5 2 2 3 3" xfId="1944"/>
    <cellStyle name="40% - Accent5 2 2 3 3 2" xfId="1945"/>
    <cellStyle name="40% - Accent5 2 2 3 3 2 2" xfId="8026"/>
    <cellStyle name="40% - Accent5 2 2 3 3 2 2 2" xfId="16308"/>
    <cellStyle name="40% - Accent5 2 2 3 3 2 3" xfId="10520"/>
    <cellStyle name="40% - Accent5 2 2 3 3 2 3 2" xfId="18798"/>
    <cellStyle name="40% - Accent5 2 2 3 3 2 4" xfId="4948"/>
    <cellStyle name="40% - Accent5 2 2 3 3 2 5" xfId="13274"/>
    <cellStyle name="40% - Accent5 2 2 3 3 3" xfId="8025"/>
    <cellStyle name="40% - Accent5 2 2 3 3 3 2" xfId="16307"/>
    <cellStyle name="40% - Accent5 2 2 3 3 4" xfId="10519"/>
    <cellStyle name="40% - Accent5 2 2 3 3 4 2" xfId="18797"/>
    <cellStyle name="40% - Accent5 2 2 3 3 5" xfId="4947"/>
    <cellStyle name="40% - Accent5 2 2 3 3 6" xfId="13273"/>
    <cellStyle name="40% - Accent5 2 2 3 4" xfId="1946"/>
    <cellStyle name="40% - Accent5 2 2 3 4 2" xfId="8027"/>
    <cellStyle name="40% - Accent5 2 2 3 4 2 2" xfId="16309"/>
    <cellStyle name="40% - Accent5 2 2 3 4 3" xfId="10521"/>
    <cellStyle name="40% - Accent5 2 2 3 4 3 2" xfId="18799"/>
    <cellStyle name="40% - Accent5 2 2 3 4 4" xfId="4949"/>
    <cellStyle name="40% - Accent5 2 2 3 4 5" xfId="13275"/>
    <cellStyle name="40% - Accent5 2 2 3 5" xfId="1947"/>
    <cellStyle name="40% - Accent5 2 2 3 5 2" xfId="8028"/>
    <cellStyle name="40% - Accent5 2 2 3 5 2 2" xfId="16310"/>
    <cellStyle name="40% - Accent5 2 2 3 5 3" xfId="10522"/>
    <cellStyle name="40% - Accent5 2 2 3 5 3 2" xfId="18800"/>
    <cellStyle name="40% - Accent5 2 2 3 5 4" xfId="4950"/>
    <cellStyle name="40% - Accent5 2 2 3 5 5" xfId="13276"/>
    <cellStyle name="40% - Accent5 2 2 3 6" xfId="4951"/>
    <cellStyle name="40% - Accent5 2 2 3 6 2" xfId="13277"/>
    <cellStyle name="40% - Accent5 2 2 3 7" xfId="5980"/>
    <cellStyle name="40% - Accent5 2 2 3 7 2" xfId="14262"/>
    <cellStyle name="40% - Accent5 2 2 3 8" xfId="8022"/>
    <cellStyle name="40% - Accent5 2 2 3 8 2" xfId="16304"/>
    <cellStyle name="40% - Accent5 2 2 3 9" xfId="10516"/>
    <cellStyle name="40% - Accent5 2 2 3 9 2" xfId="18794"/>
    <cellStyle name="40% - Accent5 2 2 4" xfId="1948"/>
    <cellStyle name="40% - Accent5 2 2 4 10" xfId="13278"/>
    <cellStyle name="40% - Accent5 2 2 4 2" xfId="1949"/>
    <cellStyle name="40% - Accent5 2 2 4 2 2" xfId="1950"/>
    <cellStyle name="40% - Accent5 2 2 4 2 2 2" xfId="8031"/>
    <cellStyle name="40% - Accent5 2 2 4 2 2 2 2" xfId="16313"/>
    <cellStyle name="40% - Accent5 2 2 4 2 2 3" xfId="10525"/>
    <cellStyle name="40% - Accent5 2 2 4 2 2 3 2" xfId="18803"/>
    <cellStyle name="40% - Accent5 2 2 4 2 2 4" xfId="4954"/>
    <cellStyle name="40% - Accent5 2 2 4 2 2 5" xfId="13280"/>
    <cellStyle name="40% - Accent5 2 2 4 2 3" xfId="8030"/>
    <cellStyle name="40% - Accent5 2 2 4 2 3 2" xfId="16312"/>
    <cellStyle name="40% - Accent5 2 2 4 2 4" xfId="10524"/>
    <cellStyle name="40% - Accent5 2 2 4 2 4 2" xfId="18802"/>
    <cellStyle name="40% - Accent5 2 2 4 2 5" xfId="4953"/>
    <cellStyle name="40% - Accent5 2 2 4 2 6" xfId="13279"/>
    <cellStyle name="40% - Accent5 2 2 4 3" xfId="1951"/>
    <cellStyle name="40% - Accent5 2 2 4 3 2" xfId="8032"/>
    <cellStyle name="40% - Accent5 2 2 4 3 2 2" xfId="16314"/>
    <cellStyle name="40% - Accent5 2 2 4 3 3" xfId="10526"/>
    <cellStyle name="40% - Accent5 2 2 4 3 3 2" xfId="18804"/>
    <cellStyle name="40% - Accent5 2 2 4 3 4" xfId="4955"/>
    <cellStyle name="40% - Accent5 2 2 4 3 5" xfId="13281"/>
    <cellStyle name="40% - Accent5 2 2 4 4" xfId="1952"/>
    <cellStyle name="40% - Accent5 2 2 4 4 2" xfId="8033"/>
    <cellStyle name="40% - Accent5 2 2 4 4 2 2" xfId="16315"/>
    <cellStyle name="40% - Accent5 2 2 4 4 3" xfId="10527"/>
    <cellStyle name="40% - Accent5 2 2 4 4 3 2" xfId="18805"/>
    <cellStyle name="40% - Accent5 2 2 4 4 4" xfId="4956"/>
    <cellStyle name="40% - Accent5 2 2 4 4 5" xfId="13282"/>
    <cellStyle name="40% - Accent5 2 2 4 5" xfId="4957"/>
    <cellStyle name="40% - Accent5 2 2 4 5 2" xfId="13283"/>
    <cellStyle name="40% - Accent5 2 2 4 6" xfId="5796"/>
    <cellStyle name="40% - Accent5 2 2 4 6 2" xfId="14078"/>
    <cellStyle name="40% - Accent5 2 2 4 7" xfId="8029"/>
    <cellStyle name="40% - Accent5 2 2 4 7 2" xfId="16311"/>
    <cellStyle name="40% - Accent5 2 2 4 8" xfId="10523"/>
    <cellStyle name="40% - Accent5 2 2 4 8 2" xfId="18801"/>
    <cellStyle name="40% - Accent5 2 2 4 9" xfId="4952"/>
    <cellStyle name="40% - Accent5 2 2 5" xfId="1953"/>
    <cellStyle name="40% - Accent5 2 2 5 2" xfId="1954"/>
    <cellStyle name="40% - Accent5 2 2 5 2 2" xfId="8035"/>
    <cellStyle name="40% - Accent5 2 2 5 2 2 2" xfId="16317"/>
    <cellStyle name="40% - Accent5 2 2 5 2 3" xfId="10529"/>
    <cellStyle name="40% - Accent5 2 2 5 2 3 2" xfId="18807"/>
    <cellStyle name="40% - Accent5 2 2 5 2 4" xfId="4959"/>
    <cellStyle name="40% - Accent5 2 2 5 2 5" xfId="13285"/>
    <cellStyle name="40% - Accent5 2 2 5 3" xfId="8034"/>
    <cellStyle name="40% - Accent5 2 2 5 3 2" xfId="16316"/>
    <cellStyle name="40% - Accent5 2 2 5 4" xfId="10528"/>
    <cellStyle name="40% - Accent5 2 2 5 4 2" xfId="18806"/>
    <cellStyle name="40% - Accent5 2 2 5 5" xfId="4958"/>
    <cellStyle name="40% - Accent5 2 2 5 6" xfId="13284"/>
    <cellStyle name="40% - Accent5 2 2 6" xfId="1955"/>
    <cellStyle name="40% - Accent5 2 2 6 2" xfId="1956"/>
    <cellStyle name="40% - Accent5 2 2 6 2 2" xfId="8037"/>
    <cellStyle name="40% - Accent5 2 2 6 2 2 2" xfId="16319"/>
    <cellStyle name="40% - Accent5 2 2 6 2 3" xfId="10531"/>
    <cellStyle name="40% - Accent5 2 2 6 2 3 2" xfId="18809"/>
    <cellStyle name="40% - Accent5 2 2 6 2 4" xfId="4961"/>
    <cellStyle name="40% - Accent5 2 2 6 2 5" xfId="13287"/>
    <cellStyle name="40% - Accent5 2 2 6 3" xfId="8036"/>
    <cellStyle name="40% - Accent5 2 2 6 3 2" xfId="16318"/>
    <cellStyle name="40% - Accent5 2 2 6 4" xfId="10530"/>
    <cellStyle name="40% - Accent5 2 2 6 4 2" xfId="18808"/>
    <cellStyle name="40% - Accent5 2 2 6 5" xfId="4960"/>
    <cellStyle name="40% - Accent5 2 2 6 6" xfId="13286"/>
    <cellStyle name="40% - Accent5 2 2 7" xfId="1957"/>
    <cellStyle name="40% - Accent5 2 2 7 2" xfId="8038"/>
    <cellStyle name="40% - Accent5 2 2 7 2 2" xfId="16320"/>
    <cellStyle name="40% - Accent5 2 2 7 3" xfId="10532"/>
    <cellStyle name="40% - Accent5 2 2 7 3 2" xfId="18810"/>
    <cellStyle name="40% - Accent5 2 2 7 4" xfId="4962"/>
    <cellStyle name="40% - Accent5 2 2 7 5" xfId="13288"/>
    <cellStyle name="40% - Accent5 2 2 8" xfId="1958"/>
    <cellStyle name="40% - Accent5 2 2 8 2" xfId="8039"/>
    <cellStyle name="40% - Accent5 2 2 8 2 2" xfId="16321"/>
    <cellStyle name="40% - Accent5 2 2 8 3" xfId="10533"/>
    <cellStyle name="40% - Accent5 2 2 8 3 2" xfId="18811"/>
    <cellStyle name="40% - Accent5 2 2 8 4" xfId="4963"/>
    <cellStyle name="40% - Accent5 2 2 8 5" xfId="13289"/>
    <cellStyle name="40% - Accent5 2 2 9" xfId="4964"/>
    <cellStyle name="40% - Accent5 2 2 9 2" xfId="13290"/>
    <cellStyle name="40% - Accent5 2 3" xfId="1959"/>
    <cellStyle name="40% - Accent5 2 3 10" xfId="5708"/>
    <cellStyle name="40% - Accent5 2 3 10 2" xfId="13994"/>
    <cellStyle name="40% - Accent5 2 3 11" xfId="8040"/>
    <cellStyle name="40% - Accent5 2 3 11 2" xfId="16322"/>
    <cellStyle name="40% - Accent5 2 3 12" xfId="10534"/>
    <cellStyle name="40% - Accent5 2 3 12 2" xfId="18812"/>
    <cellStyle name="40% - Accent5 2 3 13" xfId="4965"/>
    <cellStyle name="40% - Accent5 2 3 14" xfId="13291"/>
    <cellStyle name="40% - Accent5 2 3 2" xfId="1960"/>
    <cellStyle name="40% - Accent5 2 3 2 10" xfId="4966"/>
    <cellStyle name="40% - Accent5 2 3 2 11" xfId="13292"/>
    <cellStyle name="40% - Accent5 2 3 2 2" xfId="1961"/>
    <cellStyle name="40% - Accent5 2 3 2 2 2" xfId="1962"/>
    <cellStyle name="40% - Accent5 2 3 2 2 2 2" xfId="8043"/>
    <cellStyle name="40% - Accent5 2 3 2 2 2 2 2" xfId="16325"/>
    <cellStyle name="40% - Accent5 2 3 2 2 2 3" xfId="10537"/>
    <cellStyle name="40% - Accent5 2 3 2 2 2 3 2" xfId="18815"/>
    <cellStyle name="40% - Accent5 2 3 2 2 2 4" xfId="4968"/>
    <cellStyle name="40% - Accent5 2 3 2 2 2 5" xfId="13294"/>
    <cellStyle name="40% - Accent5 2 3 2 2 3" xfId="8042"/>
    <cellStyle name="40% - Accent5 2 3 2 2 3 2" xfId="16324"/>
    <cellStyle name="40% - Accent5 2 3 2 2 4" xfId="10536"/>
    <cellStyle name="40% - Accent5 2 3 2 2 4 2" xfId="18814"/>
    <cellStyle name="40% - Accent5 2 3 2 2 5" xfId="4967"/>
    <cellStyle name="40% - Accent5 2 3 2 2 6" xfId="13293"/>
    <cellStyle name="40% - Accent5 2 3 2 3" xfId="1963"/>
    <cellStyle name="40% - Accent5 2 3 2 3 2" xfId="1964"/>
    <cellStyle name="40% - Accent5 2 3 2 3 2 2" xfId="8045"/>
    <cellStyle name="40% - Accent5 2 3 2 3 2 2 2" xfId="16327"/>
    <cellStyle name="40% - Accent5 2 3 2 3 2 3" xfId="10539"/>
    <cellStyle name="40% - Accent5 2 3 2 3 2 3 2" xfId="18817"/>
    <cellStyle name="40% - Accent5 2 3 2 3 2 4" xfId="4970"/>
    <cellStyle name="40% - Accent5 2 3 2 3 2 5" xfId="13296"/>
    <cellStyle name="40% - Accent5 2 3 2 3 3" xfId="8044"/>
    <cellStyle name="40% - Accent5 2 3 2 3 3 2" xfId="16326"/>
    <cellStyle name="40% - Accent5 2 3 2 3 4" xfId="10538"/>
    <cellStyle name="40% - Accent5 2 3 2 3 4 2" xfId="18816"/>
    <cellStyle name="40% - Accent5 2 3 2 3 5" xfId="4969"/>
    <cellStyle name="40% - Accent5 2 3 2 3 6" xfId="13295"/>
    <cellStyle name="40% - Accent5 2 3 2 4" xfId="1965"/>
    <cellStyle name="40% - Accent5 2 3 2 4 2" xfId="8046"/>
    <cellStyle name="40% - Accent5 2 3 2 4 2 2" xfId="16328"/>
    <cellStyle name="40% - Accent5 2 3 2 4 3" xfId="10540"/>
    <cellStyle name="40% - Accent5 2 3 2 4 3 2" xfId="18818"/>
    <cellStyle name="40% - Accent5 2 3 2 4 4" xfId="4971"/>
    <cellStyle name="40% - Accent5 2 3 2 4 5" xfId="13297"/>
    <cellStyle name="40% - Accent5 2 3 2 5" xfId="1966"/>
    <cellStyle name="40% - Accent5 2 3 2 5 2" xfId="8047"/>
    <cellStyle name="40% - Accent5 2 3 2 5 2 2" xfId="16329"/>
    <cellStyle name="40% - Accent5 2 3 2 5 3" xfId="10541"/>
    <cellStyle name="40% - Accent5 2 3 2 5 3 2" xfId="18819"/>
    <cellStyle name="40% - Accent5 2 3 2 5 4" xfId="4972"/>
    <cellStyle name="40% - Accent5 2 3 2 5 5" xfId="13298"/>
    <cellStyle name="40% - Accent5 2 3 2 6" xfId="4973"/>
    <cellStyle name="40% - Accent5 2 3 2 6 2" xfId="13299"/>
    <cellStyle name="40% - Accent5 2 3 2 7" xfId="5910"/>
    <cellStyle name="40% - Accent5 2 3 2 7 2" xfId="14192"/>
    <cellStyle name="40% - Accent5 2 3 2 8" xfId="8041"/>
    <cellStyle name="40% - Accent5 2 3 2 8 2" xfId="16323"/>
    <cellStyle name="40% - Accent5 2 3 2 9" xfId="10535"/>
    <cellStyle name="40% - Accent5 2 3 2 9 2" xfId="18813"/>
    <cellStyle name="40% - Accent5 2 3 3" xfId="1967"/>
    <cellStyle name="40% - Accent5 2 3 3 10" xfId="4974"/>
    <cellStyle name="40% - Accent5 2 3 3 11" xfId="13300"/>
    <cellStyle name="40% - Accent5 2 3 3 2" xfId="1968"/>
    <cellStyle name="40% - Accent5 2 3 3 2 2" xfId="1969"/>
    <cellStyle name="40% - Accent5 2 3 3 2 2 2" xfId="8050"/>
    <cellStyle name="40% - Accent5 2 3 3 2 2 2 2" xfId="16332"/>
    <cellStyle name="40% - Accent5 2 3 3 2 2 3" xfId="10544"/>
    <cellStyle name="40% - Accent5 2 3 3 2 2 3 2" xfId="18822"/>
    <cellStyle name="40% - Accent5 2 3 3 2 2 4" xfId="4976"/>
    <cellStyle name="40% - Accent5 2 3 3 2 2 5" xfId="13302"/>
    <cellStyle name="40% - Accent5 2 3 3 2 3" xfId="8049"/>
    <cellStyle name="40% - Accent5 2 3 3 2 3 2" xfId="16331"/>
    <cellStyle name="40% - Accent5 2 3 3 2 4" xfId="10543"/>
    <cellStyle name="40% - Accent5 2 3 3 2 4 2" xfId="18821"/>
    <cellStyle name="40% - Accent5 2 3 3 2 5" xfId="4975"/>
    <cellStyle name="40% - Accent5 2 3 3 2 6" xfId="13301"/>
    <cellStyle name="40% - Accent5 2 3 3 3" xfId="1970"/>
    <cellStyle name="40% - Accent5 2 3 3 3 2" xfId="1971"/>
    <cellStyle name="40% - Accent5 2 3 3 3 2 2" xfId="8052"/>
    <cellStyle name="40% - Accent5 2 3 3 3 2 2 2" xfId="16334"/>
    <cellStyle name="40% - Accent5 2 3 3 3 2 3" xfId="10546"/>
    <cellStyle name="40% - Accent5 2 3 3 3 2 3 2" xfId="18824"/>
    <cellStyle name="40% - Accent5 2 3 3 3 2 4" xfId="4978"/>
    <cellStyle name="40% - Accent5 2 3 3 3 2 5" xfId="13304"/>
    <cellStyle name="40% - Accent5 2 3 3 3 3" xfId="8051"/>
    <cellStyle name="40% - Accent5 2 3 3 3 3 2" xfId="16333"/>
    <cellStyle name="40% - Accent5 2 3 3 3 4" xfId="10545"/>
    <cellStyle name="40% - Accent5 2 3 3 3 4 2" xfId="18823"/>
    <cellStyle name="40% - Accent5 2 3 3 3 5" xfId="4977"/>
    <cellStyle name="40% - Accent5 2 3 3 3 6" xfId="13303"/>
    <cellStyle name="40% - Accent5 2 3 3 4" xfId="1972"/>
    <cellStyle name="40% - Accent5 2 3 3 4 2" xfId="8053"/>
    <cellStyle name="40% - Accent5 2 3 3 4 2 2" xfId="16335"/>
    <cellStyle name="40% - Accent5 2 3 3 4 3" xfId="10547"/>
    <cellStyle name="40% - Accent5 2 3 3 4 3 2" xfId="18825"/>
    <cellStyle name="40% - Accent5 2 3 3 4 4" xfId="4979"/>
    <cellStyle name="40% - Accent5 2 3 3 4 5" xfId="13305"/>
    <cellStyle name="40% - Accent5 2 3 3 5" xfId="1973"/>
    <cellStyle name="40% - Accent5 2 3 3 5 2" xfId="8054"/>
    <cellStyle name="40% - Accent5 2 3 3 5 2 2" xfId="16336"/>
    <cellStyle name="40% - Accent5 2 3 3 5 3" xfId="10548"/>
    <cellStyle name="40% - Accent5 2 3 3 5 3 2" xfId="18826"/>
    <cellStyle name="40% - Accent5 2 3 3 5 4" xfId="4980"/>
    <cellStyle name="40% - Accent5 2 3 3 5 5" xfId="13306"/>
    <cellStyle name="40% - Accent5 2 3 3 6" xfId="4981"/>
    <cellStyle name="40% - Accent5 2 3 3 6 2" xfId="13307"/>
    <cellStyle name="40% - Accent5 2 3 3 7" xfId="6008"/>
    <cellStyle name="40% - Accent5 2 3 3 7 2" xfId="14290"/>
    <cellStyle name="40% - Accent5 2 3 3 8" xfId="8048"/>
    <cellStyle name="40% - Accent5 2 3 3 8 2" xfId="16330"/>
    <cellStyle name="40% - Accent5 2 3 3 9" xfId="10542"/>
    <cellStyle name="40% - Accent5 2 3 3 9 2" xfId="18820"/>
    <cellStyle name="40% - Accent5 2 3 4" xfId="1974"/>
    <cellStyle name="40% - Accent5 2 3 4 10" xfId="13308"/>
    <cellStyle name="40% - Accent5 2 3 4 2" xfId="1975"/>
    <cellStyle name="40% - Accent5 2 3 4 2 2" xfId="1976"/>
    <cellStyle name="40% - Accent5 2 3 4 2 2 2" xfId="8057"/>
    <cellStyle name="40% - Accent5 2 3 4 2 2 2 2" xfId="16339"/>
    <cellStyle name="40% - Accent5 2 3 4 2 2 3" xfId="10551"/>
    <cellStyle name="40% - Accent5 2 3 4 2 2 3 2" xfId="18829"/>
    <cellStyle name="40% - Accent5 2 3 4 2 2 4" xfId="4984"/>
    <cellStyle name="40% - Accent5 2 3 4 2 2 5" xfId="13310"/>
    <cellStyle name="40% - Accent5 2 3 4 2 3" xfId="8056"/>
    <cellStyle name="40% - Accent5 2 3 4 2 3 2" xfId="16338"/>
    <cellStyle name="40% - Accent5 2 3 4 2 4" xfId="10550"/>
    <cellStyle name="40% - Accent5 2 3 4 2 4 2" xfId="18828"/>
    <cellStyle name="40% - Accent5 2 3 4 2 5" xfId="4983"/>
    <cellStyle name="40% - Accent5 2 3 4 2 6" xfId="13309"/>
    <cellStyle name="40% - Accent5 2 3 4 3" xfId="1977"/>
    <cellStyle name="40% - Accent5 2 3 4 3 2" xfId="8058"/>
    <cellStyle name="40% - Accent5 2 3 4 3 2 2" xfId="16340"/>
    <cellStyle name="40% - Accent5 2 3 4 3 3" xfId="10552"/>
    <cellStyle name="40% - Accent5 2 3 4 3 3 2" xfId="18830"/>
    <cellStyle name="40% - Accent5 2 3 4 3 4" xfId="4985"/>
    <cellStyle name="40% - Accent5 2 3 4 3 5" xfId="13311"/>
    <cellStyle name="40% - Accent5 2 3 4 4" xfId="1978"/>
    <cellStyle name="40% - Accent5 2 3 4 4 2" xfId="8059"/>
    <cellStyle name="40% - Accent5 2 3 4 4 2 2" xfId="16341"/>
    <cellStyle name="40% - Accent5 2 3 4 4 3" xfId="10553"/>
    <cellStyle name="40% - Accent5 2 3 4 4 3 2" xfId="18831"/>
    <cellStyle name="40% - Accent5 2 3 4 4 4" xfId="4986"/>
    <cellStyle name="40% - Accent5 2 3 4 4 5" xfId="13312"/>
    <cellStyle name="40% - Accent5 2 3 4 5" xfId="4987"/>
    <cellStyle name="40% - Accent5 2 3 4 5 2" xfId="13313"/>
    <cellStyle name="40% - Accent5 2 3 4 6" xfId="5824"/>
    <cellStyle name="40% - Accent5 2 3 4 6 2" xfId="14106"/>
    <cellStyle name="40% - Accent5 2 3 4 7" xfId="8055"/>
    <cellStyle name="40% - Accent5 2 3 4 7 2" xfId="16337"/>
    <cellStyle name="40% - Accent5 2 3 4 8" xfId="10549"/>
    <cellStyle name="40% - Accent5 2 3 4 8 2" xfId="18827"/>
    <cellStyle name="40% - Accent5 2 3 4 9" xfId="4982"/>
    <cellStyle name="40% - Accent5 2 3 5" xfId="1979"/>
    <cellStyle name="40% - Accent5 2 3 5 2" xfId="1980"/>
    <cellStyle name="40% - Accent5 2 3 5 2 2" xfId="8061"/>
    <cellStyle name="40% - Accent5 2 3 5 2 2 2" xfId="16343"/>
    <cellStyle name="40% - Accent5 2 3 5 2 3" xfId="10555"/>
    <cellStyle name="40% - Accent5 2 3 5 2 3 2" xfId="18833"/>
    <cellStyle name="40% - Accent5 2 3 5 2 4" xfId="4989"/>
    <cellStyle name="40% - Accent5 2 3 5 2 5" xfId="13315"/>
    <cellStyle name="40% - Accent5 2 3 5 3" xfId="8060"/>
    <cellStyle name="40% - Accent5 2 3 5 3 2" xfId="16342"/>
    <cellStyle name="40% - Accent5 2 3 5 4" xfId="10554"/>
    <cellStyle name="40% - Accent5 2 3 5 4 2" xfId="18832"/>
    <cellStyle name="40% - Accent5 2 3 5 5" xfId="4988"/>
    <cellStyle name="40% - Accent5 2 3 5 6" xfId="13314"/>
    <cellStyle name="40% - Accent5 2 3 6" xfId="1981"/>
    <cellStyle name="40% - Accent5 2 3 6 2" xfId="1982"/>
    <cellStyle name="40% - Accent5 2 3 6 2 2" xfId="8063"/>
    <cellStyle name="40% - Accent5 2 3 6 2 2 2" xfId="16345"/>
    <cellStyle name="40% - Accent5 2 3 6 2 3" xfId="10557"/>
    <cellStyle name="40% - Accent5 2 3 6 2 3 2" xfId="18835"/>
    <cellStyle name="40% - Accent5 2 3 6 2 4" xfId="4991"/>
    <cellStyle name="40% - Accent5 2 3 6 2 5" xfId="13317"/>
    <cellStyle name="40% - Accent5 2 3 6 3" xfId="8062"/>
    <cellStyle name="40% - Accent5 2 3 6 3 2" xfId="16344"/>
    <cellStyle name="40% - Accent5 2 3 6 4" xfId="10556"/>
    <cellStyle name="40% - Accent5 2 3 6 4 2" xfId="18834"/>
    <cellStyle name="40% - Accent5 2 3 6 5" xfId="4990"/>
    <cellStyle name="40% - Accent5 2 3 6 6" xfId="13316"/>
    <cellStyle name="40% - Accent5 2 3 7" xfId="1983"/>
    <cellStyle name="40% - Accent5 2 3 7 2" xfId="8064"/>
    <cellStyle name="40% - Accent5 2 3 7 2 2" xfId="16346"/>
    <cellStyle name="40% - Accent5 2 3 7 3" xfId="10558"/>
    <cellStyle name="40% - Accent5 2 3 7 3 2" xfId="18836"/>
    <cellStyle name="40% - Accent5 2 3 7 4" xfId="4992"/>
    <cellStyle name="40% - Accent5 2 3 7 5" xfId="13318"/>
    <cellStyle name="40% - Accent5 2 3 8" xfId="1984"/>
    <cellStyle name="40% - Accent5 2 3 8 2" xfId="8065"/>
    <cellStyle name="40% - Accent5 2 3 8 2 2" xfId="16347"/>
    <cellStyle name="40% - Accent5 2 3 8 3" xfId="10559"/>
    <cellStyle name="40% - Accent5 2 3 8 3 2" xfId="18837"/>
    <cellStyle name="40% - Accent5 2 3 8 4" xfId="4993"/>
    <cellStyle name="40% - Accent5 2 3 8 5" xfId="13319"/>
    <cellStyle name="40% - Accent5 2 3 9" xfId="4994"/>
    <cellStyle name="40% - Accent5 2 3 9 2" xfId="13320"/>
    <cellStyle name="40% - Accent5 2 4" xfId="1985"/>
    <cellStyle name="40% - Accent5 2 4 10" xfId="4995"/>
    <cellStyle name="40% - Accent5 2 4 11" xfId="13321"/>
    <cellStyle name="40% - Accent5 2 4 2" xfId="1986"/>
    <cellStyle name="40% - Accent5 2 4 2 2" xfId="1987"/>
    <cellStyle name="40% - Accent5 2 4 2 2 2" xfId="8068"/>
    <cellStyle name="40% - Accent5 2 4 2 2 2 2" xfId="16350"/>
    <cellStyle name="40% - Accent5 2 4 2 2 3" xfId="10562"/>
    <cellStyle name="40% - Accent5 2 4 2 2 3 2" xfId="18840"/>
    <cellStyle name="40% - Accent5 2 4 2 2 4" xfId="4997"/>
    <cellStyle name="40% - Accent5 2 4 2 2 5" xfId="13323"/>
    <cellStyle name="40% - Accent5 2 4 2 3" xfId="8067"/>
    <cellStyle name="40% - Accent5 2 4 2 3 2" xfId="16349"/>
    <cellStyle name="40% - Accent5 2 4 2 4" xfId="10561"/>
    <cellStyle name="40% - Accent5 2 4 2 4 2" xfId="18839"/>
    <cellStyle name="40% - Accent5 2 4 2 5" xfId="4996"/>
    <cellStyle name="40% - Accent5 2 4 2 6" xfId="13322"/>
    <cellStyle name="40% - Accent5 2 4 3" xfId="1988"/>
    <cellStyle name="40% - Accent5 2 4 3 2" xfId="1989"/>
    <cellStyle name="40% - Accent5 2 4 3 2 2" xfId="8070"/>
    <cellStyle name="40% - Accent5 2 4 3 2 2 2" xfId="16352"/>
    <cellStyle name="40% - Accent5 2 4 3 2 3" xfId="10564"/>
    <cellStyle name="40% - Accent5 2 4 3 2 3 2" xfId="18842"/>
    <cellStyle name="40% - Accent5 2 4 3 2 4" xfId="4999"/>
    <cellStyle name="40% - Accent5 2 4 3 2 5" xfId="13325"/>
    <cellStyle name="40% - Accent5 2 4 3 3" xfId="8069"/>
    <cellStyle name="40% - Accent5 2 4 3 3 2" xfId="16351"/>
    <cellStyle name="40% - Accent5 2 4 3 4" xfId="10563"/>
    <cellStyle name="40% - Accent5 2 4 3 4 2" xfId="18841"/>
    <cellStyle name="40% - Accent5 2 4 3 5" xfId="4998"/>
    <cellStyle name="40% - Accent5 2 4 3 6" xfId="13324"/>
    <cellStyle name="40% - Accent5 2 4 4" xfId="1990"/>
    <cellStyle name="40% - Accent5 2 4 4 2" xfId="8071"/>
    <cellStyle name="40% - Accent5 2 4 4 2 2" xfId="16353"/>
    <cellStyle name="40% - Accent5 2 4 4 3" xfId="10565"/>
    <cellStyle name="40% - Accent5 2 4 4 3 2" xfId="18843"/>
    <cellStyle name="40% - Accent5 2 4 4 4" xfId="5000"/>
    <cellStyle name="40% - Accent5 2 4 4 5" xfId="13326"/>
    <cellStyle name="40% - Accent5 2 4 5" xfId="1991"/>
    <cellStyle name="40% - Accent5 2 4 5 2" xfId="8072"/>
    <cellStyle name="40% - Accent5 2 4 5 2 2" xfId="16354"/>
    <cellStyle name="40% - Accent5 2 4 5 3" xfId="10566"/>
    <cellStyle name="40% - Accent5 2 4 5 3 2" xfId="18844"/>
    <cellStyle name="40% - Accent5 2 4 5 4" xfId="5001"/>
    <cellStyle name="40% - Accent5 2 4 5 5" xfId="13327"/>
    <cellStyle name="40% - Accent5 2 4 6" xfId="5002"/>
    <cellStyle name="40% - Accent5 2 4 6 2" xfId="13328"/>
    <cellStyle name="40% - Accent5 2 4 7" xfId="5765"/>
    <cellStyle name="40% - Accent5 2 4 7 2" xfId="14049"/>
    <cellStyle name="40% - Accent5 2 4 8" xfId="8066"/>
    <cellStyle name="40% - Accent5 2 4 8 2" xfId="16348"/>
    <cellStyle name="40% - Accent5 2 4 9" xfId="10560"/>
    <cellStyle name="40% - Accent5 2 4 9 2" xfId="18838"/>
    <cellStyle name="40% - Accent5 2 5" xfId="1992"/>
    <cellStyle name="40% - Accent5 2 5 10" xfId="5003"/>
    <cellStyle name="40% - Accent5 2 5 11" xfId="13329"/>
    <cellStyle name="40% - Accent5 2 5 2" xfId="1993"/>
    <cellStyle name="40% - Accent5 2 5 2 2" xfId="1994"/>
    <cellStyle name="40% - Accent5 2 5 2 2 2" xfId="8075"/>
    <cellStyle name="40% - Accent5 2 5 2 2 2 2" xfId="16357"/>
    <cellStyle name="40% - Accent5 2 5 2 2 3" xfId="10569"/>
    <cellStyle name="40% - Accent5 2 5 2 2 3 2" xfId="18847"/>
    <cellStyle name="40% - Accent5 2 5 2 2 4" xfId="5005"/>
    <cellStyle name="40% - Accent5 2 5 2 2 5" xfId="13331"/>
    <cellStyle name="40% - Accent5 2 5 2 3" xfId="8074"/>
    <cellStyle name="40% - Accent5 2 5 2 3 2" xfId="16356"/>
    <cellStyle name="40% - Accent5 2 5 2 4" xfId="10568"/>
    <cellStyle name="40% - Accent5 2 5 2 4 2" xfId="18846"/>
    <cellStyle name="40% - Accent5 2 5 2 5" xfId="5004"/>
    <cellStyle name="40% - Accent5 2 5 2 6" xfId="13330"/>
    <cellStyle name="40% - Accent5 2 5 3" xfId="1995"/>
    <cellStyle name="40% - Accent5 2 5 3 2" xfId="1996"/>
    <cellStyle name="40% - Accent5 2 5 3 2 2" xfId="8077"/>
    <cellStyle name="40% - Accent5 2 5 3 2 2 2" xfId="16359"/>
    <cellStyle name="40% - Accent5 2 5 3 2 3" xfId="10571"/>
    <cellStyle name="40% - Accent5 2 5 3 2 3 2" xfId="18849"/>
    <cellStyle name="40% - Accent5 2 5 3 2 4" xfId="5007"/>
    <cellStyle name="40% - Accent5 2 5 3 2 5" xfId="13333"/>
    <cellStyle name="40% - Accent5 2 5 3 3" xfId="8076"/>
    <cellStyle name="40% - Accent5 2 5 3 3 2" xfId="16358"/>
    <cellStyle name="40% - Accent5 2 5 3 4" xfId="10570"/>
    <cellStyle name="40% - Accent5 2 5 3 4 2" xfId="18848"/>
    <cellStyle name="40% - Accent5 2 5 3 5" xfId="5006"/>
    <cellStyle name="40% - Accent5 2 5 3 6" xfId="13332"/>
    <cellStyle name="40% - Accent5 2 5 4" xfId="1997"/>
    <cellStyle name="40% - Accent5 2 5 4 2" xfId="8078"/>
    <cellStyle name="40% - Accent5 2 5 4 2 2" xfId="16360"/>
    <cellStyle name="40% - Accent5 2 5 4 3" xfId="10572"/>
    <cellStyle name="40% - Accent5 2 5 4 3 2" xfId="18850"/>
    <cellStyle name="40% - Accent5 2 5 4 4" xfId="5008"/>
    <cellStyle name="40% - Accent5 2 5 4 5" xfId="13334"/>
    <cellStyle name="40% - Accent5 2 5 5" xfId="1998"/>
    <cellStyle name="40% - Accent5 2 5 5 2" xfId="8079"/>
    <cellStyle name="40% - Accent5 2 5 5 2 2" xfId="16361"/>
    <cellStyle name="40% - Accent5 2 5 5 3" xfId="10573"/>
    <cellStyle name="40% - Accent5 2 5 5 3 2" xfId="18851"/>
    <cellStyle name="40% - Accent5 2 5 5 4" xfId="5009"/>
    <cellStyle name="40% - Accent5 2 5 5 5" xfId="13335"/>
    <cellStyle name="40% - Accent5 2 5 6" xfId="5010"/>
    <cellStyle name="40% - Accent5 2 5 6 2" xfId="13336"/>
    <cellStyle name="40% - Accent5 2 5 7" xfId="5853"/>
    <cellStyle name="40% - Accent5 2 5 7 2" xfId="14135"/>
    <cellStyle name="40% - Accent5 2 5 8" xfId="8073"/>
    <cellStyle name="40% - Accent5 2 5 8 2" xfId="16355"/>
    <cellStyle name="40% - Accent5 2 5 9" xfId="10567"/>
    <cellStyle name="40% - Accent5 2 5 9 2" xfId="18845"/>
    <cellStyle name="40% - Accent5 2 6" xfId="1999"/>
    <cellStyle name="40% - Accent5 2 6 10" xfId="5011"/>
    <cellStyle name="40% - Accent5 2 6 11" xfId="13337"/>
    <cellStyle name="40% - Accent5 2 6 2" xfId="2000"/>
    <cellStyle name="40% - Accent5 2 6 2 2" xfId="2001"/>
    <cellStyle name="40% - Accent5 2 6 2 2 2" xfId="8082"/>
    <cellStyle name="40% - Accent5 2 6 2 2 2 2" xfId="16364"/>
    <cellStyle name="40% - Accent5 2 6 2 2 3" xfId="10576"/>
    <cellStyle name="40% - Accent5 2 6 2 2 3 2" xfId="18854"/>
    <cellStyle name="40% - Accent5 2 6 2 2 4" xfId="5013"/>
    <cellStyle name="40% - Accent5 2 6 2 2 5" xfId="13339"/>
    <cellStyle name="40% - Accent5 2 6 2 3" xfId="8081"/>
    <cellStyle name="40% - Accent5 2 6 2 3 2" xfId="16363"/>
    <cellStyle name="40% - Accent5 2 6 2 4" xfId="10575"/>
    <cellStyle name="40% - Accent5 2 6 2 4 2" xfId="18853"/>
    <cellStyle name="40% - Accent5 2 6 2 5" xfId="5012"/>
    <cellStyle name="40% - Accent5 2 6 2 6" xfId="13338"/>
    <cellStyle name="40% - Accent5 2 6 3" xfId="2002"/>
    <cellStyle name="40% - Accent5 2 6 3 2" xfId="2003"/>
    <cellStyle name="40% - Accent5 2 6 3 2 2" xfId="8084"/>
    <cellStyle name="40% - Accent5 2 6 3 2 2 2" xfId="16366"/>
    <cellStyle name="40% - Accent5 2 6 3 2 3" xfId="10578"/>
    <cellStyle name="40% - Accent5 2 6 3 2 3 2" xfId="18856"/>
    <cellStyle name="40% - Accent5 2 6 3 2 4" xfId="5015"/>
    <cellStyle name="40% - Accent5 2 6 3 2 5" xfId="13341"/>
    <cellStyle name="40% - Accent5 2 6 3 3" xfId="8083"/>
    <cellStyle name="40% - Accent5 2 6 3 3 2" xfId="16365"/>
    <cellStyle name="40% - Accent5 2 6 3 4" xfId="10577"/>
    <cellStyle name="40% - Accent5 2 6 3 4 2" xfId="18855"/>
    <cellStyle name="40% - Accent5 2 6 3 5" xfId="5014"/>
    <cellStyle name="40% - Accent5 2 6 3 6" xfId="13340"/>
    <cellStyle name="40% - Accent5 2 6 4" xfId="2004"/>
    <cellStyle name="40% - Accent5 2 6 4 2" xfId="8085"/>
    <cellStyle name="40% - Accent5 2 6 4 2 2" xfId="16367"/>
    <cellStyle name="40% - Accent5 2 6 4 3" xfId="10579"/>
    <cellStyle name="40% - Accent5 2 6 4 3 2" xfId="18857"/>
    <cellStyle name="40% - Accent5 2 6 4 4" xfId="5016"/>
    <cellStyle name="40% - Accent5 2 6 4 5" xfId="13342"/>
    <cellStyle name="40% - Accent5 2 6 5" xfId="2005"/>
    <cellStyle name="40% - Accent5 2 6 5 2" xfId="8086"/>
    <cellStyle name="40% - Accent5 2 6 5 2 2" xfId="16368"/>
    <cellStyle name="40% - Accent5 2 6 5 3" xfId="10580"/>
    <cellStyle name="40% - Accent5 2 6 5 3 2" xfId="18858"/>
    <cellStyle name="40% - Accent5 2 6 5 4" xfId="5017"/>
    <cellStyle name="40% - Accent5 2 6 5 5" xfId="13343"/>
    <cellStyle name="40% - Accent5 2 6 6" xfId="5018"/>
    <cellStyle name="40% - Accent5 2 6 6 2" xfId="13344"/>
    <cellStyle name="40% - Accent5 2 6 7" xfId="5951"/>
    <cellStyle name="40% - Accent5 2 6 7 2" xfId="14233"/>
    <cellStyle name="40% - Accent5 2 6 8" xfId="8080"/>
    <cellStyle name="40% - Accent5 2 6 8 2" xfId="16362"/>
    <cellStyle name="40% - Accent5 2 6 9" xfId="10574"/>
    <cellStyle name="40% - Accent5 2 6 9 2" xfId="18852"/>
    <cellStyle name="40% - Accent5 2 7" xfId="2006"/>
    <cellStyle name="40% - Accent5 2 7 10" xfId="13345"/>
    <cellStyle name="40% - Accent5 2 7 2" xfId="2007"/>
    <cellStyle name="40% - Accent5 2 7 2 2" xfId="2008"/>
    <cellStyle name="40% - Accent5 2 7 2 2 2" xfId="8089"/>
    <cellStyle name="40% - Accent5 2 7 2 2 2 2" xfId="16371"/>
    <cellStyle name="40% - Accent5 2 7 2 2 3" xfId="10583"/>
    <cellStyle name="40% - Accent5 2 7 2 2 3 2" xfId="18861"/>
    <cellStyle name="40% - Accent5 2 7 2 2 4" xfId="5021"/>
    <cellStyle name="40% - Accent5 2 7 2 2 5" xfId="13347"/>
    <cellStyle name="40% - Accent5 2 7 2 3" xfId="8088"/>
    <cellStyle name="40% - Accent5 2 7 2 3 2" xfId="16370"/>
    <cellStyle name="40% - Accent5 2 7 2 4" xfId="10582"/>
    <cellStyle name="40% - Accent5 2 7 2 4 2" xfId="18860"/>
    <cellStyle name="40% - Accent5 2 7 2 5" xfId="5020"/>
    <cellStyle name="40% - Accent5 2 7 2 6" xfId="13346"/>
    <cellStyle name="40% - Accent5 2 7 3" xfId="2009"/>
    <cellStyle name="40% - Accent5 2 7 3 2" xfId="8090"/>
    <cellStyle name="40% - Accent5 2 7 3 2 2" xfId="16372"/>
    <cellStyle name="40% - Accent5 2 7 3 3" xfId="10584"/>
    <cellStyle name="40% - Accent5 2 7 3 3 2" xfId="18862"/>
    <cellStyle name="40% - Accent5 2 7 3 4" xfId="5022"/>
    <cellStyle name="40% - Accent5 2 7 3 5" xfId="13348"/>
    <cellStyle name="40% - Accent5 2 7 4" xfId="2010"/>
    <cellStyle name="40% - Accent5 2 7 4 2" xfId="8091"/>
    <cellStyle name="40% - Accent5 2 7 4 2 2" xfId="16373"/>
    <cellStyle name="40% - Accent5 2 7 4 3" xfId="10585"/>
    <cellStyle name="40% - Accent5 2 7 4 3 2" xfId="18863"/>
    <cellStyle name="40% - Accent5 2 7 4 4" xfId="5023"/>
    <cellStyle name="40% - Accent5 2 7 4 5" xfId="13349"/>
    <cellStyle name="40% - Accent5 2 7 5" xfId="5024"/>
    <cellStyle name="40% - Accent5 2 7 5 2" xfId="13350"/>
    <cellStyle name="40% - Accent5 2 7 6" xfId="5736"/>
    <cellStyle name="40% - Accent5 2 7 6 2" xfId="14022"/>
    <cellStyle name="40% - Accent5 2 7 7" xfId="8087"/>
    <cellStyle name="40% - Accent5 2 7 7 2" xfId="16369"/>
    <cellStyle name="40% - Accent5 2 7 8" xfId="10581"/>
    <cellStyle name="40% - Accent5 2 7 8 2" xfId="18859"/>
    <cellStyle name="40% - Accent5 2 7 9" xfId="5019"/>
    <cellStyle name="40% - Accent5 2 8" xfId="2011"/>
    <cellStyle name="40% - Accent5 2 8 2" xfId="2012"/>
    <cellStyle name="40% - Accent5 2 8 2 2" xfId="8093"/>
    <cellStyle name="40% - Accent5 2 8 2 2 2" xfId="16375"/>
    <cellStyle name="40% - Accent5 2 8 2 3" xfId="10587"/>
    <cellStyle name="40% - Accent5 2 8 2 3 2" xfId="18865"/>
    <cellStyle name="40% - Accent5 2 8 2 4" xfId="5026"/>
    <cellStyle name="40% - Accent5 2 8 2 5" xfId="13352"/>
    <cellStyle name="40% - Accent5 2 8 3" xfId="8092"/>
    <cellStyle name="40% - Accent5 2 8 3 2" xfId="16374"/>
    <cellStyle name="40% - Accent5 2 8 4" xfId="10586"/>
    <cellStyle name="40% - Accent5 2 8 4 2" xfId="18864"/>
    <cellStyle name="40% - Accent5 2 8 5" xfId="5025"/>
    <cellStyle name="40% - Accent5 2 8 6" xfId="13351"/>
    <cellStyle name="40% - Accent5 2 9" xfId="2013"/>
    <cellStyle name="40% - Accent5 2 9 2" xfId="2014"/>
    <cellStyle name="40% - Accent5 2 9 2 2" xfId="8095"/>
    <cellStyle name="40% - Accent5 2 9 2 2 2" xfId="16377"/>
    <cellStyle name="40% - Accent5 2 9 2 3" xfId="10589"/>
    <cellStyle name="40% - Accent5 2 9 2 3 2" xfId="18867"/>
    <cellStyle name="40% - Accent5 2 9 2 4" xfId="5028"/>
    <cellStyle name="40% - Accent5 2 9 2 5" xfId="13354"/>
    <cellStyle name="40% - Accent5 2 9 3" xfId="8094"/>
    <cellStyle name="40% - Accent5 2 9 3 2" xfId="16376"/>
    <cellStyle name="40% - Accent5 2 9 4" xfId="10588"/>
    <cellStyle name="40% - Accent5 2 9 4 2" xfId="18866"/>
    <cellStyle name="40% - Accent5 2 9 5" xfId="5027"/>
    <cellStyle name="40% - Accent5 2 9 6" xfId="13353"/>
    <cellStyle name="40% - Accent5 20" xfId="4906"/>
    <cellStyle name="40% - Accent5 21" xfId="13232"/>
    <cellStyle name="40% - Accent5 22" xfId="19356"/>
    <cellStyle name="40% - Accent5 3" xfId="2015"/>
    <cellStyle name="40% - Accent5 3 10" xfId="5664"/>
    <cellStyle name="40% - Accent5 3 10 2" xfId="13951"/>
    <cellStyle name="40% - Accent5 3 11" xfId="8096"/>
    <cellStyle name="40% - Accent5 3 11 2" xfId="16378"/>
    <cellStyle name="40% - Accent5 3 12" xfId="10590"/>
    <cellStyle name="40% - Accent5 3 12 2" xfId="18868"/>
    <cellStyle name="40% - Accent5 3 13" xfId="5029"/>
    <cellStyle name="40% - Accent5 3 14" xfId="13355"/>
    <cellStyle name="40% - Accent5 3 2" xfId="2016"/>
    <cellStyle name="40% - Accent5 3 2 10" xfId="5030"/>
    <cellStyle name="40% - Accent5 3 2 11" xfId="13356"/>
    <cellStyle name="40% - Accent5 3 2 2" xfId="2017"/>
    <cellStyle name="40% - Accent5 3 2 2 2" xfId="2018"/>
    <cellStyle name="40% - Accent5 3 2 2 2 2" xfId="8099"/>
    <cellStyle name="40% - Accent5 3 2 2 2 2 2" xfId="16381"/>
    <cellStyle name="40% - Accent5 3 2 2 2 3" xfId="10593"/>
    <cellStyle name="40% - Accent5 3 2 2 2 3 2" xfId="18871"/>
    <cellStyle name="40% - Accent5 3 2 2 2 4" xfId="5032"/>
    <cellStyle name="40% - Accent5 3 2 2 2 5" xfId="13358"/>
    <cellStyle name="40% - Accent5 3 2 2 3" xfId="8098"/>
    <cellStyle name="40% - Accent5 3 2 2 3 2" xfId="16380"/>
    <cellStyle name="40% - Accent5 3 2 2 4" xfId="10592"/>
    <cellStyle name="40% - Accent5 3 2 2 4 2" xfId="18870"/>
    <cellStyle name="40% - Accent5 3 2 2 5" xfId="5031"/>
    <cellStyle name="40% - Accent5 3 2 2 6" xfId="13357"/>
    <cellStyle name="40% - Accent5 3 2 3" xfId="2019"/>
    <cellStyle name="40% - Accent5 3 2 3 2" xfId="2020"/>
    <cellStyle name="40% - Accent5 3 2 3 2 2" xfId="8101"/>
    <cellStyle name="40% - Accent5 3 2 3 2 2 2" xfId="16383"/>
    <cellStyle name="40% - Accent5 3 2 3 2 3" xfId="10595"/>
    <cellStyle name="40% - Accent5 3 2 3 2 3 2" xfId="18873"/>
    <cellStyle name="40% - Accent5 3 2 3 2 4" xfId="5034"/>
    <cellStyle name="40% - Accent5 3 2 3 2 5" xfId="13360"/>
    <cellStyle name="40% - Accent5 3 2 3 3" xfId="8100"/>
    <cellStyle name="40% - Accent5 3 2 3 3 2" xfId="16382"/>
    <cellStyle name="40% - Accent5 3 2 3 4" xfId="10594"/>
    <cellStyle name="40% - Accent5 3 2 3 4 2" xfId="18872"/>
    <cellStyle name="40% - Accent5 3 2 3 5" xfId="5033"/>
    <cellStyle name="40% - Accent5 3 2 3 6" xfId="13359"/>
    <cellStyle name="40% - Accent5 3 2 4" xfId="2021"/>
    <cellStyle name="40% - Accent5 3 2 4 2" xfId="8102"/>
    <cellStyle name="40% - Accent5 3 2 4 2 2" xfId="16384"/>
    <cellStyle name="40% - Accent5 3 2 4 3" xfId="10596"/>
    <cellStyle name="40% - Accent5 3 2 4 3 2" xfId="18874"/>
    <cellStyle name="40% - Accent5 3 2 4 4" xfId="5035"/>
    <cellStyle name="40% - Accent5 3 2 4 5" xfId="13361"/>
    <cellStyle name="40% - Accent5 3 2 5" xfId="2022"/>
    <cellStyle name="40% - Accent5 3 2 5 2" xfId="8103"/>
    <cellStyle name="40% - Accent5 3 2 5 2 2" xfId="16385"/>
    <cellStyle name="40% - Accent5 3 2 5 3" xfId="10597"/>
    <cellStyle name="40% - Accent5 3 2 5 3 2" xfId="18875"/>
    <cellStyle name="40% - Accent5 3 2 5 4" xfId="5036"/>
    <cellStyle name="40% - Accent5 3 2 5 5" xfId="13362"/>
    <cellStyle name="40% - Accent5 3 2 6" xfId="5037"/>
    <cellStyle name="40% - Accent5 3 2 6 2" xfId="13363"/>
    <cellStyle name="40% - Accent5 3 2 7" xfId="5867"/>
    <cellStyle name="40% - Accent5 3 2 7 2" xfId="14149"/>
    <cellStyle name="40% - Accent5 3 2 8" xfId="8097"/>
    <cellStyle name="40% - Accent5 3 2 8 2" xfId="16379"/>
    <cellStyle name="40% - Accent5 3 2 9" xfId="10591"/>
    <cellStyle name="40% - Accent5 3 2 9 2" xfId="18869"/>
    <cellStyle name="40% - Accent5 3 3" xfId="2023"/>
    <cellStyle name="40% - Accent5 3 3 10" xfId="5038"/>
    <cellStyle name="40% - Accent5 3 3 11" xfId="13364"/>
    <cellStyle name="40% - Accent5 3 3 2" xfId="2024"/>
    <cellStyle name="40% - Accent5 3 3 2 2" xfId="2025"/>
    <cellStyle name="40% - Accent5 3 3 2 2 2" xfId="8106"/>
    <cellStyle name="40% - Accent5 3 3 2 2 2 2" xfId="16388"/>
    <cellStyle name="40% - Accent5 3 3 2 2 3" xfId="10600"/>
    <cellStyle name="40% - Accent5 3 3 2 2 3 2" xfId="18878"/>
    <cellStyle name="40% - Accent5 3 3 2 2 4" xfId="5040"/>
    <cellStyle name="40% - Accent5 3 3 2 2 5" xfId="13366"/>
    <cellStyle name="40% - Accent5 3 3 2 3" xfId="8105"/>
    <cellStyle name="40% - Accent5 3 3 2 3 2" xfId="16387"/>
    <cellStyle name="40% - Accent5 3 3 2 4" xfId="10599"/>
    <cellStyle name="40% - Accent5 3 3 2 4 2" xfId="18877"/>
    <cellStyle name="40% - Accent5 3 3 2 5" xfId="5039"/>
    <cellStyle name="40% - Accent5 3 3 2 6" xfId="13365"/>
    <cellStyle name="40% - Accent5 3 3 3" xfId="2026"/>
    <cellStyle name="40% - Accent5 3 3 3 2" xfId="2027"/>
    <cellStyle name="40% - Accent5 3 3 3 2 2" xfId="8108"/>
    <cellStyle name="40% - Accent5 3 3 3 2 2 2" xfId="16390"/>
    <cellStyle name="40% - Accent5 3 3 3 2 3" xfId="10602"/>
    <cellStyle name="40% - Accent5 3 3 3 2 3 2" xfId="18880"/>
    <cellStyle name="40% - Accent5 3 3 3 2 4" xfId="5042"/>
    <cellStyle name="40% - Accent5 3 3 3 2 5" xfId="13368"/>
    <cellStyle name="40% - Accent5 3 3 3 3" xfId="8107"/>
    <cellStyle name="40% - Accent5 3 3 3 3 2" xfId="16389"/>
    <cellStyle name="40% - Accent5 3 3 3 4" xfId="10601"/>
    <cellStyle name="40% - Accent5 3 3 3 4 2" xfId="18879"/>
    <cellStyle name="40% - Accent5 3 3 3 5" xfId="5041"/>
    <cellStyle name="40% - Accent5 3 3 3 6" xfId="13367"/>
    <cellStyle name="40% - Accent5 3 3 4" xfId="2028"/>
    <cellStyle name="40% - Accent5 3 3 4 2" xfId="8109"/>
    <cellStyle name="40% - Accent5 3 3 4 2 2" xfId="16391"/>
    <cellStyle name="40% - Accent5 3 3 4 3" xfId="10603"/>
    <cellStyle name="40% - Accent5 3 3 4 3 2" xfId="18881"/>
    <cellStyle name="40% - Accent5 3 3 4 4" xfId="5043"/>
    <cellStyle name="40% - Accent5 3 3 4 5" xfId="13369"/>
    <cellStyle name="40% - Accent5 3 3 5" xfId="2029"/>
    <cellStyle name="40% - Accent5 3 3 5 2" xfId="8110"/>
    <cellStyle name="40% - Accent5 3 3 5 2 2" xfId="16392"/>
    <cellStyle name="40% - Accent5 3 3 5 3" xfId="10604"/>
    <cellStyle name="40% - Accent5 3 3 5 3 2" xfId="18882"/>
    <cellStyle name="40% - Accent5 3 3 5 4" xfId="5044"/>
    <cellStyle name="40% - Accent5 3 3 5 5" xfId="13370"/>
    <cellStyle name="40% - Accent5 3 3 6" xfId="5045"/>
    <cellStyle name="40% - Accent5 3 3 6 2" xfId="13371"/>
    <cellStyle name="40% - Accent5 3 3 7" xfId="5965"/>
    <cellStyle name="40% - Accent5 3 3 7 2" xfId="14247"/>
    <cellStyle name="40% - Accent5 3 3 8" xfId="8104"/>
    <cellStyle name="40% - Accent5 3 3 8 2" xfId="16386"/>
    <cellStyle name="40% - Accent5 3 3 9" xfId="10598"/>
    <cellStyle name="40% - Accent5 3 3 9 2" xfId="18876"/>
    <cellStyle name="40% - Accent5 3 4" xfId="2030"/>
    <cellStyle name="40% - Accent5 3 4 10" xfId="13372"/>
    <cellStyle name="40% - Accent5 3 4 2" xfId="2031"/>
    <cellStyle name="40% - Accent5 3 4 2 2" xfId="2032"/>
    <cellStyle name="40% - Accent5 3 4 2 2 2" xfId="8113"/>
    <cellStyle name="40% - Accent5 3 4 2 2 2 2" xfId="16395"/>
    <cellStyle name="40% - Accent5 3 4 2 2 3" xfId="10607"/>
    <cellStyle name="40% - Accent5 3 4 2 2 3 2" xfId="18885"/>
    <cellStyle name="40% - Accent5 3 4 2 2 4" xfId="5048"/>
    <cellStyle name="40% - Accent5 3 4 2 2 5" xfId="13374"/>
    <cellStyle name="40% - Accent5 3 4 2 3" xfId="8112"/>
    <cellStyle name="40% - Accent5 3 4 2 3 2" xfId="16394"/>
    <cellStyle name="40% - Accent5 3 4 2 4" xfId="10606"/>
    <cellStyle name="40% - Accent5 3 4 2 4 2" xfId="18884"/>
    <cellStyle name="40% - Accent5 3 4 2 5" xfId="5047"/>
    <cellStyle name="40% - Accent5 3 4 2 6" xfId="13373"/>
    <cellStyle name="40% - Accent5 3 4 3" xfId="2033"/>
    <cellStyle name="40% - Accent5 3 4 3 2" xfId="8114"/>
    <cellStyle name="40% - Accent5 3 4 3 2 2" xfId="16396"/>
    <cellStyle name="40% - Accent5 3 4 3 3" xfId="10608"/>
    <cellStyle name="40% - Accent5 3 4 3 3 2" xfId="18886"/>
    <cellStyle name="40% - Accent5 3 4 3 4" xfId="5049"/>
    <cellStyle name="40% - Accent5 3 4 3 5" xfId="13375"/>
    <cellStyle name="40% - Accent5 3 4 4" xfId="2034"/>
    <cellStyle name="40% - Accent5 3 4 4 2" xfId="8115"/>
    <cellStyle name="40% - Accent5 3 4 4 2 2" xfId="16397"/>
    <cellStyle name="40% - Accent5 3 4 4 3" xfId="10609"/>
    <cellStyle name="40% - Accent5 3 4 4 3 2" xfId="18887"/>
    <cellStyle name="40% - Accent5 3 4 4 4" xfId="5050"/>
    <cellStyle name="40% - Accent5 3 4 4 5" xfId="13376"/>
    <cellStyle name="40% - Accent5 3 4 5" xfId="5051"/>
    <cellStyle name="40% - Accent5 3 4 5 2" xfId="13377"/>
    <cellStyle name="40% - Accent5 3 4 6" xfId="5781"/>
    <cellStyle name="40% - Accent5 3 4 6 2" xfId="14063"/>
    <cellStyle name="40% - Accent5 3 4 7" xfId="8111"/>
    <cellStyle name="40% - Accent5 3 4 7 2" xfId="16393"/>
    <cellStyle name="40% - Accent5 3 4 8" xfId="10605"/>
    <cellStyle name="40% - Accent5 3 4 8 2" xfId="18883"/>
    <cellStyle name="40% - Accent5 3 4 9" xfId="5046"/>
    <cellStyle name="40% - Accent5 3 5" xfId="2035"/>
    <cellStyle name="40% - Accent5 3 5 2" xfId="2036"/>
    <cellStyle name="40% - Accent5 3 5 2 2" xfId="8117"/>
    <cellStyle name="40% - Accent5 3 5 2 2 2" xfId="16399"/>
    <cellStyle name="40% - Accent5 3 5 2 3" xfId="10611"/>
    <cellStyle name="40% - Accent5 3 5 2 3 2" xfId="18889"/>
    <cellStyle name="40% - Accent5 3 5 2 4" xfId="5053"/>
    <cellStyle name="40% - Accent5 3 5 2 5" xfId="13379"/>
    <cellStyle name="40% - Accent5 3 5 3" xfId="8116"/>
    <cellStyle name="40% - Accent5 3 5 3 2" xfId="16398"/>
    <cellStyle name="40% - Accent5 3 5 4" xfId="10610"/>
    <cellStyle name="40% - Accent5 3 5 4 2" xfId="18888"/>
    <cellStyle name="40% - Accent5 3 5 5" xfId="5052"/>
    <cellStyle name="40% - Accent5 3 5 6" xfId="13378"/>
    <cellStyle name="40% - Accent5 3 6" xfId="2037"/>
    <cellStyle name="40% - Accent5 3 6 2" xfId="2038"/>
    <cellStyle name="40% - Accent5 3 6 2 2" xfId="8119"/>
    <cellStyle name="40% - Accent5 3 6 2 2 2" xfId="16401"/>
    <cellStyle name="40% - Accent5 3 6 2 3" xfId="10613"/>
    <cellStyle name="40% - Accent5 3 6 2 3 2" xfId="18891"/>
    <cellStyle name="40% - Accent5 3 6 2 4" xfId="5055"/>
    <cellStyle name="40% - Accent5 3 6 2 5" xfId="13381"/>
    <cellStyle name="40% - Accent5 3 6 3" xfId="8118"/>
    <cellStyle name="40% - Accent5 3 6 3 2" xfId="16400"/>
    <cellStyle name="40% - Accent5 3 6 4" xfId="10612"/>
    <cellStyle name="40% - Accent5 3 6 4 2" xfId="18890"/>
    <cellStyle name="40% - Accent5 3 6 5" xfId="5054"/>
    <cellStyle name="40% - Accent5 3 6 6" xfId="13380"/>
    <cellStyle name="40% - Accent5 3 7" xfId="2039"/>
    <cellStyle name="40% - Accent5 3 7 2" xfId="8120"/>
    <cellStyle name="40% - Accent5 3 7 2 2" xfId="16402"/>
    <cellStyle name="40% - Accent5 3 7 3" xfId="10614"/>
    <cellStyle name="40% - Accent5 3 7 3 2" xfId="18892"/>
    <cellStyle name="40% - Accent5 3 7 4" xfId="5056"/>
    <cellStyle name="40% - Accent5 3 7 5" xfId="13382"/>
    <cellStyle name="40% - Accent5 3 8" xfId="2040"/>
    <cellStyle name="40% - Accent5 3 8 2" xfId="8121"/>
    <cellStyle name="40% - Accent5 3 8 2 2" xfId="16403"/>
    <cellStyle name="40% - Accent5 3 8 3" xfId="10615"/>
    <cellStyle name="40% - Accent5 3 8 3 2" xfId="18893"/>
    <cellStyle name="40% - Accent5 3 8 4" xfId="5057"/>
    <cellStyle name="40% - Accent5 3 8 5" xfId="13383"/>
    <cellStyle name="40% - Accent5 3 9" xfId="5058"/>
    <cellStyle name="40% - Accent5 3 9 2" xfId="13384"/>
    <cellStyle name="40% - Accent5 4" xfId="2041"/>
    <cellStyle name="40% - Accent5 4 10" xfId="5693"/>
    <cellStyle name="40% - Accent5 4 10 2" xfId="13979"/>
    <cellStyle name="40% - Accent5 4 11" xfId="8122"/>
    <cellStyle name="40% - Accent5 4 11 2" xfId="16404"/>
    <cellStyle name="40% - Accent5 4 12" xfId="10616"/>
    <cellStyle name="40% - Accent5 4 12 2" xfId="18894"/>
    <cellStyle name="40% - Accent5 4 13" xfId="5059"/>
    <cellStyle name="40% - Accent5 4 14" xfId="13385"/>
    <cellStyle name="40% - Accent5 4 2" xfId="2042"/>
    <cellStyle name="40% - Accent5 4 2 10" xfId="5060"/>
    <cellStyle name="40% - Accent5 4 2 11" xfId="13386"/>
    <cellStyle name="40% - Accent5 4 2 2" xfId="2043"/>
    <cellStyle name="40% - Accent5 4 2 2 2" xfId="2044"/>
    <cellStyle name="40% - Accent5 4 2 2 2 2" xfId="8125"/>
    <cellStyle name="40% - Accent5 4 2 2 2 2 2" xfId="16407"/>
    <cellStyle name="40% - Accent5 4 2 2 2 3" xfId="10619"/>
    <cellStyle name="40% - Accent5 4 2 2 2 3 2" xfId="18897"/>
    <cellStyle name="40% - Accent5 4 2 2 2 4" xfId="5062"/>
    <cellStyle name="40% - Accent5 4 2 2 2 5" xfId="13388"/>
    <cellStyle name="40% - Accent5 4 2 2 3" xfId="8124"/>
    <cellStyle name="40% - Accent5 4 2 2 3 2" xfId="16406"/>
    <cellStyle name="40% - Accent5 4 2 2 4" xfId="10618"/>
    <cellStyle name="40% - Accent5 4 2 2 4 2" xfId="18896"/>
    <cellStyle name="40% - Accent5 4 2 2 5" xfId="5061"/>
    <cellStyle name="40% - Accent5 4 2 2 6" xfId="13387"/>
    <cellStyle name="40% - Accent5 4 2 3" xfId="2045"/>
    <cellStyle name="40% - Accent5 4 2 3 2" xfId="2046"/>
    <cellStyle name="40% - Accent5 4 2 3 2 2" xfId="8127"/>
    <cellStyle name="40% - Accent5 4 2 3 2 2 2" xfId="16409"/>
    <cellStyle name="40% - Accent5 4 2 3 2 3" xfId="10621"/>
    <cellStyle name="40% - Accent5 4 2 3 2 3 2" xfId="18899"/>
    <cellStyle name="40% - Accent5 4 2 3 2 4" xfId="5064"/>
    <cellStyle name="40% - Accent5 4 2 3 2 5" xfId="13390"/>
    <cellStyle name="40% - Accent5 4 2 3 3" xfId="8126"/>
    <cellStyle name="40% - Accent5 4 2 3 3 2" xfId="16408"/>
    <cellStyle name="40% - Accent5 4 2 3 4" xfId="10620"/>
    <cellStyle name="40% - Accent5 4 2 3 4 2" xfId="18898"/>
    <cellStyle name="40% - Accent5 4 2 3 5" xfId="5063"/>
    <cellStyle name="40% - Accent5 4 2 3 6" xfId="13389"/>
    <cellStyle name="40% - Accent5 4 2 4" xfId="2047"/>
    <cellStyle name="40% - Accent5 4 2 4 2" xfId="8128"/>
    <cellStyle name="40% - Accent5 4 2 4 2 2" xfId="16410"/>
    <cellStyle name="40% - Accent5 4 2 4 3" xfId="10622"/>
    <cellStyle name="40% - Accent5 4 2 4 3 2" xfId="18900"/>
    <cellStyle name="40% - Accent5 4 2 4 4" xfId="5065"/>
    <cellStyle name="40% - Accent5 4 2 4 5" xfId="13391"/>
    <cellStyle name="40% - Accent5 4 2 5" xfId="2048"/>
    <cellStyle name="40% - Accent5 4 2 5 2" xfId="8129"/>
    <cellStyle name="40% - Accent5 4 2 5 2 2" xfId="16411"/>
    <cellStyle name="40% - Accent5 4 2 5 3" xfId="10623"/>
    <cellStyle name="40% - Accent5 4 2 5 3 2" xfId="18901"/>
    <cellStyle name="40% - Accent5 4 2 5 4" xfId="5066"/>
    <cellStyle name="40% - Accent5 4 2 5 5" xfId="13392"/>
    <cellStyle name="40% - Accent5 4 2 6" xfId="5067"/>
    <cellStyle name="40% - Accent5 4 2 6 2" xfId="13393"/>
    <cellStyle name="40% - Accent5 4 2 7" xfId="5895"/>
    <cellStyle name="40% - Accent5 4 2 7 2" xfId="14177"/>
    <cellStyle name="40% - Accent5 4 2 8" xfId="8123"/>
    <cellStyle name="40% - Accent5 4 2 8 2" xfId="16405"/>
    <cellStyle name="40% - Accent5 4 2 9" xfId="10617"/>
    <cellStyle name="40% - Accent5 4 2 9 2" xfId="18895"/>
    <cellStyle name="40% - Accent5 4 3" xfId="2049"/>
    <cellStyle name="40% - Accent5 4 3 10" xfId="5068"/>
    <cellStyle name="40% - Accent5 4 3 11" xfId="13394"/>
    <cellStyle name="40% - Accent5 4 3 2" xfId="2050"/>
    <cellStyle name="40% - Accent5 4 3 2 2" xfId="2051"/>
    <cellStyle name="40% - Accent5 4 3 2 2 2" xfId="8132"/>
    <cellStyle name="40% - Accent5 4 3 2 2 2 2" xfId="16414"/>
    <cellStyle name="40% - Accent5 4 3 2 2 3" xfId="10626"/>
    <cellStyle name="40% - Accent5 4 3 2 2 3 2" xfId="18904"/>
    <cellStyle name="40% - Accent5 4 3 2 2 4" xfId="5070"/>
    <cellStyle name="40% - Accent5 4 3 2 2 5" xfId="13396"/>
    <cellStyle name="40% - Accent5 4 3 2 3" xfId="8131"/>
    <cellStyle name="40% - Accent5 4 3 2 3 2" xfId="16413"/>
    <cellStyle name="40% - Accent5 4 3 2 4" xfId="10625"/>
    <cellStyle name="40% - Accent5 4 3 2 4 2" xfId="18903"/>
    <cellStyle name="40% - Accent5 4 3 2 5" xfId="5069"/>
    <cellStyle name="40% - Accent5 4 3 2 6" xfId="13395"/>
    <cellStyle name="40% - Accent5 4 3 3" xfId="2052"/>
    <cellStyle name="40% - Accent5 4 3 3 2" xfId="2053"/>
    <cellStyle name="40% - Accent5 4 3 3 2 2" xfId="8134"/>
    <cellStyle name="40% - Accent5 4 3 3 2 2 2" xfId="16416"/>
    <cellStyle name="40% - Accent5 4 3 3 2 3" xfId="10628"/>
    <cellStyle name="40% - Accent5 4 3 3 2 3 2" xfId="18906"/>
    <cellStyle name="40% - Accent5 4 3 3 2 4" xfId="5072"/>
    <cellStyle name="40% - Accent5 4 3 3 2 5" xfId="13398"/>
    <cellStyle name="40% - Accent5 4 3 3 3" xfId="8133"/>
    <cellStyle name="40% - Accent5 4 3 3 3 2" xfId="16415"/>
    <cellStyle name="40% - Accent5 4 3 3 4" xfId="10627"/>
    <cellStyle name="40% - Accent5 4 3 3 4 2" xfId="18905"/>
    <cellStyle name="40% - Accent5 4 3 3 5" xfId="5071"/>
    <cellStyle name="40% - Accent5 4 3 3 6" xfId="13397"/>
    <cellStyle name="40% - Accent5 4 3 4" xfId="2054"/>
    <cellStyle name="40% - Accent5 4 3 4 2" xfId="8135"/>
    <cellStyle name="40% - Accent5 4 3 4 2 2" xfId="16417"/>
    <cellStyle name="40% - Accent5 4 3 4 3" xfId="10629"/>
    <cellStyle name="40% - Accent5 4 3 4 3 2" xfId="18907"/>
    <cellStyle name="40% - Accent5 4 3 4 4" xfId="5073"/>
    <cellStyle name="40% - Accent5 4 3 4 5" xfId="13399"/>
    <cellStyle name="40% - Accent5 4 3 5" xfId="2055"/>
    <cellStyle name="40% - Accent5 4 3 5 2" xfId="8136"/>
    <cellStyle name="40% - Accent5 4 3 5 2 2" xfId="16418"/>
    <cellStyle name="40% - Accent5 4 3 5 3" xfId="10630"/>
    <cellStyle name="40% - Accent5 4 3 5 3 2" xfId="18908"/>
    <cellStyle name="40% - Accent5 4 3 5 4" xfId="5074"/>
    <cellStyle name="40% - Accent5 4 3 5 5" xfId="13400"/>
    <cellStyle name="40% - Accent5 4 3 6" xfId="5075"/>
    <cellStyle name="40% - Accent5 4 3 6 2" xfId="13401"/>
    <cellStyle name="40% - Accent5 4 3 7" xfId="5993"/>
    <cellStyle name="40% - Accent5 4 3 7 2" xfId="14275"/>
    <cellStyle name="40% - Accent5 4 3 8" xfId="8130"/>
    <cellStyle name="40% - Accent5 4 3 8 2" xfId="16412"/>
    <cellStyle name="40% - Accent5 4 3 9" xfId="10624"/>
    <cellStyle name="40% - Accent5 4 3 9 2" xfId="18902"/>
    <cellStyle name="40% - Accent5 4 4" xfId="2056"/>
    <cellStyle name="40% - Accent5 4 4 10" xfId="13402"/>
    <cellStyle name="40% - Accent5 4 4 2" xfId="2057"/>
    <cellStyle name="40% - Accent5 4 4 2 2" xfId="2058"/>
    <cellStyle name="40% - Accent5 4 4 2 2 2" xfId="8139"/>
    <cellStyle name="40% - Accent5 4 4 2 2 2 2" xfId="16421"/>
    <cellStyle name="40% - Accent5 4 4 2 2 3" xfId="10633"/>
    <cellStyle name="40% - Accent5 4 4 2 2 3 2" xfId="18911"/>
    <cellStyle name="40% - Accent5 4 4 2 2 4" xfId="5078"/>
    <cellStyle name="40% - Accent5 4 4 2 2 5" xfId="13404"/>
    <cellStyle name="40% - Accent5 4 4 2 3" xfId="8138"/>
    <cellStyle name="40% - Accent5 4 4 2 3 2" xfId="16420"/>
    <cellStyle name="40% - Accent5 4 4 2 4" xfId="10632"/>
    <cellStyle name="40% - Accent5 4 4 2 4 2" xfId="18910"/>
    <cellStyle name="40% - Accent5 4 4 2 5" xfId="5077"/>
    <cellStyle name="40% - Accent5 4 4 2 6" xfId="13403"/>
    <cellStyle name="40% - Accent5 4 4 3" xfId="2059"/>
    <cellStyle name="40% - Accent5 4 4 3 2" xfId="8140"/>
    <cellStyle name="40% - Accent5 4 4 3 2 2" xfId="16422"/>
    <cellStyle name="40% - Accent5 4 4 3 3" xfId="10634"/>
    <cellStyle name="40% - Accent5 4 4 3 3 2" xfId="18912"/>
    <cellStyle name="40% - Accent5 4 4 3 4" xfId="5079"/>
    <cellStyle name="40% - Accent5 4 4 3 5" xfId="13405"/>
    <cellStyle name="40% - Accent5 4 4 4" xfId="2060"/>
    <cellStyle name="40% - Accent5 4 4 4 2" xfId="8141"/>
    <cellStyle name="40% - Accent5 4 4 4 2 2" xfId="16423"/>
    <cellStyle name="40% - Accent5 4 4 4 3" xfId="10635"/>
    <cellStyle name="40% - Accent5 4 4 4 3 2" xfId="18913"/>
    <cellStyle name="40% - Accent5 4 4 4 4" xfId="5080"/>
    <cellStyle name="40% - Accent5 4 4 4 5" xfId="13406"/>
    <cellStyle name="40% - Accent5 4 4 5" xfId="5081"/>
    <cellStyle name="40% - Accent5 4 4 5 2" xfId="13407"/>
    <cellStyle name="40% - Accent5 4 4 6" xfId="5809"/>
    <cellStyle name="40% - Accent5 4 4 6 2" xfId="14091"/>
    <cellStyle name="40% - Accent5 4 4 7" xfId="8137"/>
    <cellStyle name="40% - Accent5 4 4 7 2" xfId="16419"/>
    <cellStyle name="40% - Accent5 4 4 8" xfId="10631"/>
    <cellStyle name="40% - Accent5 4 4 8 2" xfId="18909"/>
    <cellStyle name="40% - Accent5 4 4 9" xfId="5076"/>
    <cellStyle name="40% - Accent5 4 5" xfId="2061"/>
    <cellStyle name="40% - Accent5 4 5 2" xfId="2062"/>
    <cellStyle name="40% - Accent5 4 5 2 2" xfId="8143"/>
    <cellStyle name="40% - Accent5 4 5 2 2 2" xfId="16425"/>
    <cellStyle name="40% - Accent5 4 5 2 3" xfId="10637"/>
    <cellStyle name="40% - Accent5 4 5 2 3 2" xfId="18915"/>
    <cellStyle name="40% - Accent5 4 5 2 4" xfId="5083"/>
    <cellStyle name="40% - Accent5 4 5 2 5" xfId="13409"/>
    <cellStyle name="40% - Accent5 4 5 3" xfId="8142"/>
    <cellStyle name="40% - Accent5 4 5 3 2" xfId="16424"/>
    <cellStyle name="40% - Accent5 4 5 4" xfId="10636"/>
    <cellStyle name="40% - Accent5 4 5 4 2" xfId="18914"/>
    <cellStyle name="40% - Accent5 4 5 5" xfId="5082"/>
    <cellStyle name="40% - Accent5 4 5 6" xfId="13408"/>
    <cellStyle name="40% - Accent5 4 6" xfId="2063"/>
    <cellStyle name="40% - Accent5 4 6 2" xfId="2064"/>
    <cellStyle name="40% - Accent5 4 6 2 2" xfId="8145"/>
    <cellStyle name="40% - Accent5 4 6 2 2 2" xfId="16427"/>
    <cellStyle name="40% - Accent5 4 6 2 3" xfId="10639"/>
    <cellStyle name="40% - Accent5 4 6 2 3 2" xfId="18917"/>
    <cellStyle name="40% - Accent5 4 6 2 4" xfId="5085"/>
    <cellStyle name="40% - Accent5 4 6 2 5" xfId="13411"/>
    <cellStyle name="40% - Accent5 4 6 3" xfId="8144"/>
    <cellStyle name="40% - Accent5 4 6 3 2" xfId="16426"/>
    <cellStyle name="40% - Accent5 4 6 4" xfId="10638"/>
    <cellStyle name="40% - Accent5 4 6 4 2" xfId="18916"/>
    <cellStyle name="40% - Accent5 4 6 5" xfId="5084"/>
    <cellStyle name="40% - Accent5 4 6 6" xfId="13410"/>
    <cellStyle name="40% - Accent5 4 7" xfId="2065"/>
    <cellStyle name="40% - Accent5 4 7 2" xfId="8146"/>
    <cellStyle name="40% - Accent5 4 7 2 2" xfId="16428"/>
    <cellStyle name="40% - Accent5 4 7 3" xfId="10640"/>
    <cellStyle name="40% - Accent5 4 7 3 2" xfId="18918"/>
    <cellStyle name="40% - Accent5 4 7 4" xfId="5086"/>
    <cellStyle name="40% - Accent5 4 7 5" xfId="13412"/>
    <cellStyle name="40% - Accent5 4 8" xfId="2066"/>
    <cellStyle name="40% - Accent5 4 8 2" xfId="8147"/>
    <cellStyle name="40% - Accent5 4 8 2 2" xfId="16429"/>
    <cellStyle name="40% - Accent5 4 8 3" xfId="10641"/>
    <cellStyle name="40% - Accent5 4 8 3 2" xfId="18919"/>
    <cellStyle name="40% - Accent5 4 8 4" xfId="5087"/>
    <cellStyle name="40% - Accent5 4 8 5" xfId="13413"/>
    <cellStyle name="40% - Accent5 4 9" xfId="5088"/>
    <cellStyle name="40% - Accent5 4 9 2" xfId="13414"/>
    <cellStyle name="40% - Accent5 5" xfId="2067"/>
    <cellStyle name="40% - Accent5 5 10" xfId="5089"/>
    <cellStyle name="40% - Accent5 5 11" xfId="13415"/>
    <cellStyle name="40% - Accent5 5 2" xfId="2068"/>
    <cellStyle name="40% - Accent5 5 2 2" xfId="2069"/>
    <cellStyle name="40% - Accent5 5 2 2 2" xfId="8150"/>
    <cellStyle name="40% - Accent5 5 2 2 2 2" xfId="16432"/>
    <cellStyle name="40% - Accent5 5 2 2 3" xfId="10644"/>
    <cellStyle name="40% - Accent5 5 2 2 3 2" xfId="18922"/>
    <cellStyle name="40% - Accent5 5 2 2 4" xfId="5091"/>
    <cellStyle name="40% - Accent5 5 2 2 5" xfId="13417"/>
    <cellStyle name="40% - Accent5 5 2 3" xfId="8149"/>
    <cellStyle name="40% - Accent5 5 2 3 2" xfId="16431"/>
    <cellStyle name="40% - Accent5 5 2 4" xfId="10643"/>
    <cellStyle name="40% - Accent5 5 2 4 2" xfId="18921"/>
    <cellStyle name="40% - Accent5 5 2 5" xfId="5090"/>
    <cellStyle name="40% - Accent5 5 2 6" xfId="13416"/>
    <cellStyle name="40% - Accent5 5 3" xfId="2070"/>
    <cellStyle name="40% - Accent5 5 3 2" xfId="2071"/>
    <cellStyle name="40% - Accent5 5 3 2 2" xfId="8152"/>
    <cellStyle name="40% - Accent5 5 3 2 2 2" xfId="16434"/>
    <cellStyle name="40% - Accent5 5 3 2 3" xfId="10646"/>
    <cellStyle name="40% - Accent5 5 3 2 3 2" xfId="18924"/>
    <cellStyle name="40% - Accent5 5 3 2 4" xfId="5093"/>
    <cellStyle name="40% - Accent5 5 3 2 5" xfId="13419"/>
    <cellStyle name="40% - Accent5 5 3 3" xfId="8151"/>
    <cellStyle name="40% - Accent5 5 3 3 2" xfId="16433"/>
    <cellStyle name="40% - Accent5 5 3 4" xfId="10645"/>
    <cellStyle name="40% - Accent5 5 3 4 2" xfId="18923"/>
    <cellStyle name="40% - Accent5 5 3 5" xfId="5092"/>
    <cellStyle name="40% - Accent5 5 3 6" xfId="13418"/>
    <cellStyle name="40% - Accent5 5 4" xfId="2072"/>
    <cellStyle name="40% - Accent5 5 4 2" xfId="8153"/>
    <cellStyle name="40% - Accent5 5 4 2 2" xfId="16435"/>
    <cellStyle name="40% - Accent5 5 4 3" xfId="10647"/>
    <cellStyle name="40% - Accent5 5 4 3 2" xfId="18925"/>
    <cellStyle name="40% - Accent5 5 4 4" xfId="5094"/>
    <cellStyle name="40% - Accent5 5 4 5" xfId="13420"/>
    <cellStyle name="40% - Accent5 5 5" xfId="2073"/>
    <cellStyle name="40% - Accent5 5 5 2" xfId="8154"/>
    <cellStyle name="40% - Accent5 5 5 2 2" xfId="16436"/>
    <cellStyle name="40% - Accent5 5 5 3" xfId="10648"/>
    <cellStyle name="40% - Accent5 5 5 3 2" xfId="18926"/>
    <cellStyle name="40% - Accent5 5 5 4" xfId="5095"/>
    <cellStyle name="40% - Accent5 5 5 5" xfId="13421"/>
    <cellStyle name="40% - Accent5 5 6" xfId="5096"/>
    <cellStyle name="40% - Accent5 5 6 2" xfId="13422"/>
    <cellStyle name="40% - Accent5 5 7" xfId="5749"/>
    <cellStyle name="40% - Accent5 5 7 2" xfId="14034"/>
    <cellStyle name="40% - Accent5 5 8" xfId="8148"/>
    <cellStyle name="40% - Accent5 5 8 2" xfId="16430"/>
    <cellStyle name="40% - Accent5 5 9" xfId="10642"/>
    <cellStyle name="40% - Accent5 5 9 2" xfId="18920"/>
    <cellStyle name="40% - Accent5 6" xfId="2074"/>
    <cellStyle name="40% - Accent5 6 10" xfId="5097"/>
    <cellStyle name="40% - Accent5 6 11" xfId="13423"/>
    <cellStyle name="40% - Accent5 6 2" xfId="2075"/>
    <cellStyle name="40% - Accent5 6 2 2" xfId="2076"/>
    <cellStyle name="40% - Accent5 6 2 2 2" xfId="8157"/>
    <cellStyle name="40% - Accent5 6 2 2 2 2" xfId="16439"/>
    <cellStyle name="40% - Accent5 6 2 2 3" xfId="10651"/>
    <cellStyle name="40% - Accent5 6 2 2 3 2" xfId="18929"/>
    <cellStyle name="40% - Accent5 6 2 2 4" xfId="5099"/>
    <cellStyle name="40% - Accent5 6 2 2 5" xfId="13425"/>
    <cellStyle name="40% - Accent5 6 2 3" xfId="8156"/>
    <cellStyle name="40% - Accent5 6 2 3 2" xfId="16438"/>
    <cellStyle name="40% - Accent5 6 2 4" xfId="10650"/>
    <cellStyle name="40% - Accent5 6 2 4 2" xfId="18928"/>
    <cellStyle name="40% - Accent5 6 2 5" xfId="5098"/>
    <cellStyle name="40% - Accent5 6 2 6" xfId="13424"/>
    <cellStyle name="40% - Accent5 6 3" xfId="2077"/>
    <cellStyle name="40% - Accent5 6 3 2" xfId="2078"/>
    <cellStyle name="40% - Accent5 6 3 2 2" xfId="8159"/>
    <cellStyle name="40% - Accent5 6 3 2 2 2" xfId="16441"/>
    <cellStyle name="40% - Accent5 6 3 2 3" xfId="10653"/>
    <cellStyle name="40% - Accent5 6 3 2 3 2" xfId="18931"/>
    <cellStyle name="40% - Accent5 6 3 2 4" xfId="5101"/>
    <cellStyle name="40% - Accent5 6 3 2 5" xfId="13427"/>
    <cellStyle name="40% - Accent5 6 3 3" xfId="8158"/>
    <cellStyle name="40% - Accent5 6 3 3 2" xfId="16440"/>
    <cellStyle name="40% - Accent5 6 3 4" xfId="10652"/>
    <cellStyle name="40% - Accent5 6 3 4 2" xfId="18930"/>
    <cellStyle name="40% - Accent5 6 3 5" xfId="5100"/>
    <cellStyle name="40% - Accent5 6 3 6" xfId="13426"/>
    <cellStyle name="40% - Accent5 6 4" xfId="2079"/>
    <cellStyle name="40% - Accent5 6 4 2" xfId="8160"/>
    <cellStyle name="40% - Accent5 6 4 2 2" xfId="16442"/>
    <cellStyle name="40% - Accent5 6 4 3" xfId="10654"/>
    <cellStyle name="40% - Accent5 6 4 3 2" xfId="18932"/>
    <cellStyle name="40% - Accent5 6 4 4" xfId="5102"/>
    <cellStyle name="40% - Accent5 6 4 5" xfId="13428"/>
    <cellStyle name="40% - Accent5 6 5" xfId="2080"/>
    <cellStyle name="40% - Accent5 6 5 2" xfId="8161"/>
    <cellStyle name="40% - Accent5 6 5 2 2" xfId="16443"/>
    <cellStyle name="40% - Accent5 6 5 3" xfId="10655"/>
    <cellStyle name="40% - Accent5 6 5 3 2" xfId="18933"/>
    <cellStyle name="40% - Accent5 6 5 4" xfId="5103"/>
    <cellStyle name="40% - Accent5 6 5 5" xfId="13429"/>
    <cellStyle name="40% - Accent5 6 6" xfId="5104"/>
    <cellStyle name="40% - Accent5 6 6 2" xfId="13430"/>
    <cellStyle name="40% - Accent5 6 7" xfId="5838"/>
    <cellStyle name="40% - Accent5 6 7 2" xfId="14120"/>
    <cellStyle name="40% - Accent5 6 8" xfId="8155"/>
    <cellStyle name="40% - Accent5 6 8 2" xfId="16437"/>
    <cellStyle name="40% - Accent5 6 9" xfId="10649"/>
    <cellStyle name="40% - Accent5 6 9 2" xfId="18927"/>
    <cellStyle name="40% - Accent5 7" xfId="2081"/>
    <cellStyle name="40% - Accent5 7 10" xfId="5105"/>
    <cellStyle name="40% - Accent5 7 11" xfId="13431"/>
    <cellStyle name="40% - Accent5 7 2" xfId="2082"/>
    <cellStyle name="40% - Accent5 7 2 2" xfId="2083"/>
    <cellStyle name="40% - Accent5 7 2 2 2" xfId="8164"/>
    <cellStyle name="40% - Accent5 7 2 2 2 2" xfId="16446"/>
    <cellStyle name="40% - Accent5 7 2 2 3" xfId="10658"/>
    <cellStyle name="40% - Accent5 7 2 2 3 2" xfId="18936"/>
    <cellStyle name="40% - Accent5 7 2 2 4" xfId="5107"/>
    <cellStyle name="40% - Accent5 7 2 2 5" xfId="13433"/>
    <cellStyle name="40% - Accent5 7 2 3" xfId="8163"/>
    <cellStyle name="40% - Accent5 7 2 3 2" xfId="16445"/>
    <cellStyle name="40% - Accent5 7 2 4" xfId="10657"/>
    <cellStyle name="40% - Accent5 7 2 4 2" xfId="18935"/>
    <cellStyle name="40% - Accent5 7 2 5" xfId="5106"/>
    <cellStyle name="40% - Accent5 7 2 6" xfId="13432"/>
    <cellStyle name="40% - Accent5 7 3" xfId="2084"/>
    <cellStyle name="40% - Accent5 7 3 2" xfId="2085"/>
    <cellStyle name="40% - Accent5 7 3 2 2" xfId="8166"/>
    <cellStyle name="40% - Accent5 7 3 2 2 2" xfId="16448"/>
    <cellStyle name="40% - Accent5 7 3 2 3" xfId="10660"/>
    <cellStyle name="40% - Accent5 7 3 2 3 2" xfId="18938"/>
    <cellStyle name="40% - Accent5 7 3 2 4" xfId="5109"/>
    <cellStyle name="40% - Accent5 7 3 2 5" xfId="13435"/>
    <cellStyle name="40% - Accent5 7 3 3" xfId="8165"/>
    <cellStyle name="40% - Accent5 7 3 3 2" xfId="16447"/>
    <cellStyle name="40% - Accent5 7 3 4" xfId="10659"/>
    <cellStyle name="40% - Accent5 7 3 4 2" xfId="18937"/>
    <cellStyle name="40% - Accent5 7 3 5" xfId="5108"/>
    <cellStyle name="40% - Accent5 7 3 6" xfId="13434"/>
    <cellStyle name="40% - Accent5 7 4" xfId="2086"/>
    <cellStyle name="40% - Accent5 7 4 2" xfId="8167"/>
    <cellStyle name="40% - Accent5 7 4 2 2" xfId="16449"/>
    <cellStyle name="40% - Accent5 7 4 3" xfId="10661"/>
    <cellStyle name="40% - Accent5 7 4 3 2" xfId="18939"/>
    <cellStyle name="40% - Accent5 7 4 4" xfId="5110"/>
    <cellStyle name="40% - Accent5 7 4 5" xfId="13436"/>
    <cellStyle name="40% - Accent5 7 5" xfId="2087"/>
    <cellStyle name="40% - Accent5 7 5 2" xfId="8168"/>
    <cellStyle name="40% - Accent5 7 5 2 2" xfId="16450"/>
    <cellStyle name="40% - Accent5 7 5 3" xfId="10662"/>
    <cellStyle name="40% - Accent5 7 5 3 2" xfId="18940"/>
    <cellStyle name="40% - Accent5 7 5 4" xfId="5111"/>
    <cellStyle name="40% - Accent5 7 5 5" xfId="13437"/>
    <cellStyle name="40% - Accent5 7 6" xfId="5112"/>
    <cellStyle name="40% - Accent5 7 6 2" xfId="13438"/>
    <cellStyle name="40% - Accent5 7 7" xfId="5924"/>
    <cellStyle name="40% - Accent5 7 7 2" xfId="14206"/>
    <cellStyle name="40% - Accent5 7 8" xfId="8162"/>
    <cellStyle name="40% - Accent5 7 8 2" xfId="16444"/>
    <cellStyle name="40% - Accent5 7 9" xfId="10656"/>
    <cellStyle name="40% - Accent5 7 9 2" xfId="18934"/>
    <cellStyle name="40% - Accent5 8" xfId="2088"/>
    <cellStyle name="40% - Accent5 8 10" xfId="5113"/>
    <cellStyle name="40% - Accent5 8 11" xfId="13439"/>
    <cellStyle name="40% - Accent5 8 2" xfId="2089"/>
    <cellStyle name="40% - Accent5 8 2 2" xfId="2090"/>
    <cellStyle name="40% - Accent5 8 2 2 2" xfId="8171"/>
    <cellStyle name="40% - Accent5 8 2 2 2 2" xfId="16453"/>
    <cellStyle name="40% - Accent5 8 2 2 3" xfId="10665"/>
    <cellStyle name="40% - Accent5 8 2 2 3 2" xfId="18943"/>
    <cellStyle name="40% - Accent5 8 2 2 4" xfId="5115"/>
    <cellStyle name="40% - Accent5 8 2 2 5" xfId="13441"/>
    <cellStyle name="40% - Accent5 8 2 3" xfId="8170"/>
    <cellStyle name="40% - Accent5 8 2 3 2" xfId="16452"/>
    <cellStyle name="40% - Accent5 8 2 4" xfId="10664"/>
    <cellStyle name="40% - Accent5 8 2 4 2" xfId="18942"/>
    <cellStyle name="40% - Accent5 8 2 5" xfId="5114"/>
    <cellStyle name="40% - Accent5 8 2 6" xfId="13440"/>
    <cellStyle name="40% - Accent5 8 3" xfId="2091"/>
    <cellStyle name="40% - Accent5 8 3 2" xfId="2092"/>
    <cellStyle name="40% - Accent5 8 3 2 2" xfId="8173"/>
    <cellStyle name="40% - Accent5 8 3 2 2 2" xfId="16455"/>
    <cellStyle name="40% - Accent5 8 3 2 3" xfId="10667"/>
    <cellStyle name="40% - Accent5 8 3 2 3 2" xfId="18945"/>
    <cellStyle name="40% - Accent5 8 3 2 4" xfId="5117"/>
    <cellStyle name="40% - Accent5 8 3 2 5" xfId="13443"/>
    <cellStyle name="40% - Accent5 8 3 3" xfId="8172"/>
    <cellStyle name="40% - Accent5 8 3 3 2" xfId="16454"/>
    <cellStyle name="40% - Accent5 8 3 4" xfId="10666"/>
    <cellStyle name="40% - Accent5 8 3 4 2" xfId="18944"/>
    <cellStyle name="40% - Accent5 8 3 5" xfId="5116"/>
    <cellStyle name="40% - Accent5 8 3 6" xfId="13442"/>
    <cellStyle name="40% - Accent5 8 4" xfId="2093"/>
    <cellStyle name="40% - Accent5 8 4 2" xfId="8174"/>
    <cellStyle name="40% - Accent5 8 4 2 2" xfId="16456"/>
    <cellStyle name="40% - Accent5 8 4 3" xfId="10668"/>
    <cellStyle name="40% - Accent5 8 4 3 2" xfId="18946"/>
    <cellStyle name="40% - Accent5 8 4 4" xfId="5118"/>
    <cellStyle name="40% - Accent5 8 4 5" xfId="13444"/>
    <cellStyle name="40% - Accent5 8 5" xfId="2094"/>
    <cellStyle name="40% - Accent5 8 5 2" xfId="8175"/>
    <cellStyle name="40% - Accent5 8 5 2 2" xfId="16457"/>
    <cellStyle name="40% - Accent5 8 5 3" xfId="10669"/>
    <cellStyle name="40% - Accent5 8 5 3 2" xfId="18947"/>
    <cellStyle name="40% - Accent5 8 5 4" xfId="5119"/>
    <cellStyle name="40% - Accent5 8 5 5" xfId="13445"/>
    <cellStyle name="40% - Accent5 8 6" xfId="5120"/>
    <cellStyle name="40% - Accent5 8 6 2" xfId="13446"/>
    <cellStyle name="40% - Accent5 8 7" xfId="5936"/>
    <cellStyle name="40% - Accent5 8 7 2" xfId="14218"/>
    <cellStyle name="40% - Accent5 8 8" xfId="8169"/>
    <cellStyle name="40% - Accent5 8 8 2" xfId="16451"/>
    <cellStyle name="40% - Accent5 8 9" xfId="10663"/>
    <cellStyle name="40% - Accent5 8 9 2" xfId="18941"/>
    <cellStyle name="40% - Accent5 9" xfId="2095"/>
    <cellStyle name="40% - Accent5 9 10" xfId="5121"/>
    <cellStyle name="40% - Accent5 9 11" xfId="13447"/>
    <cellStyle name="40% - Accent5 9 2" xfId="2096"/>
    <cellStyle name="40% - Accent5 9 2 2" xfId="2097"/>
    <cellStyle name="40% - Accent5 9 2 2 2" xfId="8178"/>
    <cellStyle name="40% - Accent5 9 2 2 2 2" xfId="16460"/>
    <cellStyle name="40% - Accent5 9 2 2 3" xfId="10672"/>
    <cellStyle name="40% - Accent5 9 2 2 3 2" xfId="18950"/>
    <cellStyle name="40% - Accent5 9 2 2 4" xfId="5123"/>
    <cellStyle name="40% - Accent5 9 2 2 5" xfId="13449"/>
    <cellStyle name="40% - Accent5 9 2 3" xfId="8177"/>
    <cellStyle name="40% - Accent5 9 2 3 2" xfId="16459"/>
    <cellStyle name="40% - Accent5 9 2 4" xfId="10671"/>
    <cellStyle name="40% - Accent5 9 2 4 2" xfId="18949"/>
    <cellStyle name="40% - Accent5 9 2 5" xfId="5122"/>
    <cellStyle name="40% - Accent5 9 2 6" xfId="13448"/>
    <cellStyle name="40% - Accent5 9 3" xfId="2098"/>
    <cellStyle name="40% - Accent5 9 3 2" xfId="2099"/>
    <cellStyle name="40% - Accent5 9 3 2 2" xfId="8180"/>
    <cellStyle name="40% - Accent5 9 3 2 2 2" xfId="16462"/>
    <cellStyle name="40% - Accent5 9 3 2 3" xfId="10674"/>
    <cellStyle name="40% - Accent5 9 3 2 3 2" xfId="18952"/>
    <cellStyle name="40% - Accent5 9 3 2 4" xfId="5125"/>
    <cellStyle name="40% - Accent5 9 3 2 5" xfId="13451"/>
    <cellStyle name="40% - Accent5 9 3 3" xfId="8179"/>
    <cellStyle name="40% - Accent5 9 3 3 2" xfId="16461"/>
    <cellStyle name="40% - Accent5 9 3 4" xfId="10673"/>
    <cellStyle name="40% - Accent5 9 3 4 2" xfId="18951"/>
    <cellStyle name="40% - Accent5 9 3 5" xfId="5124"/>
    <cellStyle name="40% - Accent5 9 3 6" xfId="13450"/>
    <cellStyle name="40% - Accent5 9 4" xfId="2100"/>
    <cellStyle name="40% - Accent5 9 4 2" xfId="8181"/>
    <cellStyle name="40% - Accent5 9 4 2 2" xfId="16463"/>
    <cellStyle name="40% - Accent5 9 4 3" xfId="10675"/>
    <cellStyle name="40% - Accent5 9 4 3 2" xfId="18953"/>
    <cellStyle name="40% - Accent5 9 4 4" xfId="5126"/>
    <cellStyle name="40% - Accent5 9 4 5" xfId="13452"/>
    <cellStyle name="40% - Accent5 9 5" xfId="2101"/>
    <cellStyle name="40% - Accent5 9 5 2" xfId="8182"/>
    <cellStyle name="40% - Accent5 9 5 2 2" xfId="16464"/>
    <cellStyle name="40% - Accent5 9 5 3" xfId="10676"/>
    <cellStyle name="40% - Accent5 9 5 3 2" xfId="18954"/>
    <cellStyle name="40% - Accent5 9 5 4" xfId="5127"/>
    <cellStyle name="40% - Accent5 9 5 5" xfId="13453"/>
    <cellStyle name="40% - Accent5 9 6" xfId="5128"/>
    <cellStyle name="40% - Accent5 9 6 2" xfId="13454"/>
    <cellStyle name="40% - Accent5 9 7" xfId="6022"/>
    <cellStyle name="40% - Accent5 9 7 2" xfId="14304"/>
    <cellStyle name="40% - Accent5 9 8" xfId="8176"/>
    <cellStyle name="40% - Accent5 9 8 2" xfId="16458"/>
    <cellStyle name="40% - Accent5 9 9" xfId="10670"/>
    <cellStyle name="40% - Accent5 9 9 2" xfId="18948"/>
    <cellStyle name="40% - Accent6" xfId="2102" builtinId="51" customBuiltin="1"/>
    <cellStyle name="40% - Accent6 10" xfId="2103"/>
    <cellStyle name="40% - Accent6 10 10" xfId="5130"/>
    <cellStyle name="40% - Accent6 10 11" xfId="13456"/>
    <cellStyle name="40% - Accent6 10 2" xfId="2104"/>
    <cellStyle name="40% - Accent6 10 2 2" xfId="2105"/>
    <cellStyle name="40% - Accent6 10 2 2 2" xfId="8186"/>
    <cellStyle name="40% - Accent6 10 2 2 2 2" xfId="16468"/>
    <cellStyle name="40% - Accent6 10 2 2 3" xfId="10680"/>
    <cellStyle name="40% - Accent6 10 2 2 3 2" xfId="18958"/>
    <cellStyle name="40% - Accent6 10 2 2 4" xfId="5132"/>
    <cellStyle name="40% - Accent6 10 2 2 5" xfId="13458"/>
    <cellStyle name="40% - Accent6 10 2 3" xfId="8185"/>
    <cellStyle name="40% - Accent6 10 2 3 2" xfId="16467"/>
    <cellStyle name="40% - Accent6 10 2 4" xfId="10679"/>
    <cellStyle name="40% - Accent6 10 2 4 2" xfId="18957"/>
    <cellStyle name="40% - Accent6 10 2 5" xfId="5131"/>
    <cellStyle name="40% - Accent6 10 2 6" xfId="13457"/>
    <cellStyle name="40% - Accent6 10 3" xfId="2106"/>
    <cellStyle name="40% - Accent6 10 3 2" xfId="2107"/>
    <cellStyle name="40% - Accent6 10 3 2 2" xfId="8188"/>
    <cellStyle name="40% - Accent6 10 3 2 2 2" xfId="16470"/>
    <cellStyle name="40% - Accent6 10 3 2 3" xfId="10682"/>
    <cellStyle name="40% - Accent6 10 3 2 3 2" xfId="18960"/>
    <cellStyle name="40% - Accent6 10 3 2 4" xfId="5134"/>
    <cellStyle name="40% - Accent6 10 3 2 5" xfId="13460"/>
    <cellStyle name="40% - Accent6 10 3 3" xfId="8187"/>
    <cellStyle name="40% - Accent6 10 3 3 2" xfId="16469"/>
    <cellStyle name="40% - Accent6 10 3 4" xfId="10681"/>
    <cellStyle name="40% - Accent6 10 3 4 2" xfId="18959"/>
    <cellStyle name="40% - Accent6 10 3 5" xfId="5133"/>
    <cellStyle name="40% - Accent6 10 3 6" xfId="13459"/>
    <cellStyle name="40% - Accent6 10 4" xfId="2108"/>
    <cellStyle name="40% - Accent6 10 4 2" xfId="8189"/>
    <cellStyle name="40% - Accent6 10 4 2 2" xfId="16471"/>
    <cellStyle name="40% - Accent6 10 4 3" xfId="10683"/>
    <cellStyle name="40% - Accent6 10 4 3 2" xfId="18961"/>
    <cellStyle name="40% - Accent6 10 4 4" xfId="5135"/>
    <cellStyle name="40% - Accent6 10 4 5" xfId="13461"/>
    <cellStyle name="40% - Accent6 10 5" xfId="2109"/>
    <cellStyle name="40% - Accent6 10 5 2" xfId="8190"/>
    <cellStyle name="40% - Accent6 10 5 2 2" xfId="16472"/>
    <cellStyle name="40% - Accent6 10 5 3" xfId="10684"/>
    <cellStyle name="40% - Accent6 10 5 3 2" xfId="18962"/>
    <cellStyle name="40% - Accent6 10 5 4" xfId="5136"/>
    <cellStyle name="40% - Accent6 10 5 5" xfId="13462"/>
    <cellStyle name="40% - Accent6 10 6" xfId="5137"/>
    <cellStyle name="40% - Accent6 10 6 2" xfId="13463"/>
    <cellStyle name="40% - Accent6 10 7" xfId="6038"/>
    <cellStyle name="40% - Accent6 10 7 2" xfId="14320"/>
    <cellStyle name="40% - Accent6 10 8" xfId="8184"/>
    <cellStyle name="40% - Accent6 10 8 2" xfId="16466"/>
    <cellStyle name="40% - Accent6 10 9" xfId="10678"/>
    <cellStyle name="40% - Accent6 10 9 2" xfId="18956"/>
    <cellStyle name="40% - Accent6 11" xfId="2110"/>
    <cellStyle name="40% - Accent6 11 10" xfId="13464"/>
    <cellStyle name="40% - Accent6 11 2" xfId="2111"/>
    <cellStyle name="40% - Accent6 11 2 2" xfId="2112"/>
    <cellStyle name="40% - Accent6 11 2 2 2" xfId="8193"/>
    <cellStyle name="40% - Accent6 11 2 2 2 2" xfId="16475"/>
    <cellStyle name="40% - Accent6 11 2 2 3" xfId="10687"/>
    <cellStyle name="40% - Accent6 11 2 2 3 2" xfId="18965"/>
    <cellStyle name="40% - Accent6 11 2 2 4" xfId="5140"/>
    <cellStyle name="40% - Accent6 11 2 2 5" xfId="13466"/>
    <cellStyle name="40% - Accent6 11 2 3" xfId="8192"/>
    <cellStyle name="40% - Accent6 11 2 3 2" xfId="16474"/>
    <cellStyle name="40% - Accent6 11 2 4" xfId="10686"/>
    <cellStyle name="40% - Accent6 11 2 4 2" xfId="18964"/>
    <cellStyle name="40% - Accent6 11 2 5" xfId="5139"/>
    <cellStyle name="40% - Accent6 11 2 6" xfId="13465"/>
    <cellStyle name="40% - Accent6 11 3" xfId="2113"/>
    <cellStyle name="40% - Accent6 11 3 2" xfId="8194"/>
    <cellStyle name="40% - Accent6 11 3 2 2" xfId="16476"/>
    <cellStyle name="40% - Accent6 11 3 3" xfId="10688"/>
    <cellStyle name="40% - Accent6 11 3 3 2" xfId="18966"/>
    <cellStyle name="40% - Accent6 11 3 4" xfId="5141"/>
    <cellStyle name="40% - Accent6 11 3 5" xfId="13467"/>
    <cellStyle name="40% - Accent6 11 4" xfId="2114"/>
    <cellStyle name="40% - Accent6 11 4 2" xfId="8195"/>
    <cellStyle name="40% - Accent6 11 4 2 2" xfId="16477"/>
    <cellStyle name="40% - Accent6 11 4 3" xfId="10689"/>
    <cellStyle name="40% - Accent6 11 4 3 2" xfId="18967"/>
    <cellStyle name="40% - Accent6 11 4 4" xfId="5142"/>
    <cellStyle name="40% - Accent6 11 4 5" xfId="13468"/>
    <cellStyle name="40% - Accent6 11 5" xfId="5143"/>
    <cellStyle name="40% - Accent6 11 5 2" xfId="13469"/>
    <cellStyle name="40% - Accent6 11 6" xfId="5722"/>
    <cellStyle name="40% - Accent6 11 6 2" xfId="14008"/>
    <cellStyle name="40% - Accent6 11 7" xfId="8191"/>
    <cellStyle name="40% - Accent6 11 7 2" xfId="16473"/>
    <cellStyle name="40% - Accent6 11 8" xfId="10685"/>
    <cellStyle name="40% - Accent6 11 8 2" xfId="18963"/>
    <cellStyle name="40% - Accent6 11 9" xfId="5138"/>
    <cellStyle name="40% - Accent6 12" xfId="2115"/>
    <cellStyle name="40% - Accent6 12 2" xfId="2116"/>
    <cellStyle name="40% - Accent6 12 2 2" xfId="8197"/>
    <cellStyle name="40% - Accent6 12 2 2 2" xfId="16479"/>
    <cellStyle name="40% - Accent6 12 2 3" xfId="10691"/>
    <cellStyle name="40% - Accent6 12 2 3 2" xfId="18969"/>
    <cellStyle name="40% - Accent6 12 2 4" xfId="5145"/>
    <cellStyle name="40% - Accent6 12 2 5" xfId="13471"/>
    <cellStyle name="40% - Accent6 12 3" xfId="5146"/>
    <cellStyle name="40% - Accent6 12 3 2" xfId="13472"/>
    <cellStyle name="40% - Accent6 12 4" xfId="6053"/>
    <cellStyle name="40% - Accent6 12 4 2" xfId="14335"/>
    <cellStyle name="40% - Accent6 12 5" xfId="8196"/>
    <cellStyle name="40% - Accent6 12 5 2" xfId="16478"/>
    <cellStyle name="40% - Accent6 12 6" xfId="10690"/>
    <cellStyle name="40% - Accent6 12 6 2" xfId="18968"/>
    <cellStyle name="40% - Accent6 12 7" xfId="5144"/>
    <cellStyle name="40% - Accent6 12 8" xfId="13470"/>
    <cellStyle name="40% - Accent6 13" xfId="2117"/>
    <cellStyle name="40% - Accent6 13 2" xfId="2118"/>
    <cellStyle name="40% - Accent6 13 2 2" xfId="8199"/>
    <cellStyle name="40% - Accent6 13 2 2 2" xfId="16481"/>
    <cellStyle name="40% - Accent6 13 2 3" xfId="10693"/>
    <cellStyle name="40% - Accent6 13 2 3 2" xfId="18971"/>
    <cellStyle name="40% - Accent6 13 2 4" xfId="5148"/>
    <cellStyle name="40% - Accent6 13 2 5" xfId="13474"/>
    <cellStyle name="40% - Accent6 13 3" xfId="5149"/>
    <cellStyle name="40% - Accent6 13 3 2" xfId="13475"/>
    <cellStyle name="40% - Accent6 13 4" xfId="6067"/>
    <cellStyle name="40% - Accent6 13 4 2" xfId="14349"/>
    <cellStyle name="40% - Accent6 13 5" xfId="8198"/>
    <cellStyle name="40% - Accent6 13 5 2" xfId="16480"/>
    <cellStyle name="40% - Accent6 13 6" xfId="10692"/>
    <cellStyle name="40% - Accent6 13 6 2" xfId="18970"/>
    <cellStyle name="40% - Accent6 13 7" xfId="5147"/>
    <cellStyle name="40% - Accent6 13 8" xfId="13473"/>
    <cellStyle name="40% - Accent6 14" xfId="2119"/>
    <cellStyle name="40% - Accent6 14 2" xfId="5151"/>
    <cellStyle name="40% - Accent6 14 2 2" xfId="13477"/>
    <cellStyle name="40% - Accent6 14 3" xfId="6081"/>
    <cellStyle name="40% - Accent6 14 3 2" xfId="14363"/>
    <cellStyle name="40% - Accent6 14 4" xfId="8200"/>
    <cellStyle name="40% - Accent6 14 4 2" xfId="16482"/>
    <cellStyle name="40% - Accent6 14 5" xfId="10694"/>
    <cellStyle name="40% - Accent6 14 5 2" xfId="18972"/>
    <cellStyle name="40% - Accent6 14 6" xfId="5150"/>
    <cellStyle name="40% - Accent6 14 7" xfId="13476"/>
    <cellStyle name="40% - Accent6 15" xfId="2120"/>
    <cellStyle name="40% - Accent6 15 2" xfId="8201"/>
    <cellStyle name="40% - Accent6 15 2 2" xfId="16483"/>
    <cellStyle name="40% - Accent6 15 3" xfId="10695"/>
    <cellStyle name="40% - Accent6 15 3 2" xfId="18973"/>
    <cellStyle name="40% - Accent6 15 4" xfId="5152"/>
    <cellStyle name="40% - Accent6 15 5" xfId="13478"/>
    <cellStyle name="40% - Accent6 16" xfId="5153"/>
    <cellStyle name="40% - Accent6 16 2" xfId="13479"/>
    <cellStyle name="40% - Accent6 17" xfId="5634"/>
    <cellStyle name="40% - Accent6 17 2" xfId="13924"/>
    <cellStyle name="40% - Accent6 18" xfId="8183"/>
    <cellStyle name="40% - Accent6 18 2" xfId="16465"/>
    <cellStyle name="40% - Accent6 19" xfId="10677"/>
    <cellStyle name="40% - Accent6 19 2" xfId="18955"/>
    <cellStyle name="40% - Accent6 2" xfId="2121"/>
    <cellStyle name="40% - Accent6 2 10" xfId="2122"/>
    <cellStyle name="40% - Accent6 2 10 2" xfId="8203"/>
    <cellStyle name="40% - Accent6 2 10 2 2" xfId="16485"/>
    <cellStyle name="40% - Accent6 2 10 3" xfId="10697"/>
    <cellStyle name="40% - Accent6 2 10 3 2" xfId="18975"/>
    <cellStyle name="40% - Accent6 2 10 4" xfId="5155"/>
    <cellStyle name="40% - Accent6 2 10 5" xfId="13481"/>
    <cellStyle name="40% - Accent6 2 11" xfId="2123"/>
    <cellStyle name="40% - Accent6 2 11 2" xfId="8204"/>
    <cellStyle name="40% - Accent6 2 11 2 2" xfId="16486"/>
    <cellStyle name="40% - Accent6 2 11 3" xfId="10698"/>
    <cellStyle name="40% - Accent6 2 11 3 2" xfId="18976"/>
    <cellStyle name="40% - Accent6 2 11 4" xfId="5156"/>
    <cellStyle name="40% - Accent6 2 11 5" xfId="13482"/>
    <cellStyle name="40% - Accent6 2 12" xfId="5157"/>
    <cellStyle name="40% - Accent6 2 12 2" xfId="13483"/>
    <cellStyle name="40% - Accent6 2 13" xfId="5649"/>
    <cellStyle name="40% - Accent6 2 13 2" xfId="13938"/>
    <cellStyle name="40% - Accent6 2 14" xfId="8202"/>
    <cellStyle name="40% - Accent6 2 14 2" xfId="16484"/>
    <cellStyle name="40% - Accent6 2 15" xfId="10696"/>
    <cellStyle name="40% - Accent6 2 15 2" xfId="18974"/>
    <cellStyle name="40% - Accent6 2 16" xfId="5154"/>
    <cellStyle name="40% - Accent6 2 17" xfId="13480"/>
    <cellStyle name="40% - Accent6 2 2" xfId="2124"/>
    <cellStyle name="40% - Accent6 2 2 10" xfId="5682"/>
    <cellStyle name="40% - Accent6 2 2 10 2" xfId="13968"/>
    <cellStyle name="40% - Accent6 2 2 11" xfId="8205"/>
    <cellStyle name="40% - Accent6 2 2 11 2" xfId="16487"/>
    <cellStyle name="40% - Accent6 2 2 12" xfId="10699"/>
    <cellStyle name="40% - Accent6 2 2 12 2" xfId="18977"/>
    <cellStyle name="40% - Accent6 2 2 13" xfId="5158"/>
    <cellStyle name="40% - Accent6 2 2 14" xfId="13484"/>
    <cellStyle name="40% - Accent6 2 2 2" xfId="2125"/>
    <cellStyle name="40% - Accent6 2 2 2 10" xfId="5159"/>
    <cellStyle name="40% - Accent6 2 2 2 11" xfId="13485"/>
    <cellStyle name="40% - Accent6 2 2 2 2" xfId="2126"/>
    <cellStyle name="40% - Accent6 2 2 2 2 2" xfId="2127"/>
    <cellStyle name="40% - Accent6 2 2 2 2 2 2" xfId="8208"/>
    <cellStyle name="40% - Accent6 2 2 2 2 2 2 2" xfId="16490"/>
    <cellStyle name="40% - Accent6 2 2 2 2 2 3" xfId="10702"/>
    <cellStyle name="40% - Accent6 2 2 2 2 2 3 2" xfId="18980"/>
    <cellStyle name="40% - Accent6 2 2 2 2 2 4" xfId="5161"/>
    <cellStyle name="40% - Accent6 2 2 2 2 2 5" xfId="13487"/>
    <cellStyle name="40% - Accent6 2 2 2 2 3" xfId="8207"/>
    <cellStyle name="40% - Accent6 2 2 2 2 3 2" xfId="16489"/>
    <cellStyle name="40% - Accent6 2 2 2 2 4" xfId="10701"/>
    <cellStyle name="40% - Accent6 2 2 2 2 4 2" xfId="18979"/>
    <cellStyle name="40% - Accent6 2 2 2 2 5" xfId="5160"/>
    <cellStyle name="40% - Accent6 2 2 2 2 6" xfId="13486"/>
    <cellStyle name="40% - Accent6 2 2 2 3" xfId="2128"/>
    <cellStyle name="40% - Accent6 2 2 2 3 2" xfId="2129"/>
    <cellStyle name="40% - Accent6 2 2 2 3 2 2" xfId="8210"/>
    <cellStyle name="40% - Accent6 2 2 2 3 2 2 2" xfId="16492"/>
    <cellStyle name="40% - Accent6 2 2 2 3 2 3" xfId="10704"/>
    <cellStyle name="40% - Accent6 2 2 2 3 2 3 2" xfId="18982"/>
    <cellStyle name="40% - Accent6 2 2 2 3 2 4" xfId="5163"/>
    <cellStyle name="40% - Accent6 2 2 2 3 2 5" xfId="13489"/>
    <cellStyle name="40% - Accent6 2 2 2 3 3" xfId="8209"/>
    <cellStyle name="40% - Accent6 2 2 2 3 3 2" xfId="16491"/>
    <cellStyle name="40% - Accent6 2 2 2 3 4" xfId="10703"/>
    <cellStyle name="40% - Accent6 2 2 2 3 4 2" xfId="18981"/>
    <cellStyle name="40% - Accent6 2 2 2 3 5" xfId="5162"/>
    <cellStyle name="40% - Accent6 2 2 2 3 6" xfId="13488"/>
    <cellStyle name="40% - Accent6 2 2 2 4" xfId="2130"/>
    <cellStyle name="40% - Accent6 2 2 2 4 2" xfId="8211"/>
    <cellStyle name="40% - Accent6 2 2 2 4 2 2" xfId="16493"/>
    <cellStyle name="40% - Accent6 2 2 2 4 3" xfId="10705"/>
    <cellStyle name="40% - Accent6 2 2 2 4 3 2" xfId="18983"/>
    <cellStyle name="40% - Accent6 2 2 2 4 4" xfId="5164"/>
    <cellStyle name="40% - Accent6 2 2 2 4 5" xfId="13490"/>
    <cellStyle name="40% - Accent6 2 2 2 5" xfId="2131"/>
    <cellStyle name="40% - Accent6 2 2 2 5 2" xfId="8212"/>
    <cellStyle name="40% - Accent6 2 2 2 5 2 2" xfId="16494"/>
    <cellStyle name="40% - Accent6 2 2 2 5 3" xfId="10706"/>
    <cellStyle name="40% - Accent6 2 2 2 5 3 2" xfId="18984"/>
    <cellStyle name="40% - Accent6 2 2 2 5 4" xfId="5165"/>
    <cellStyle name="40% - Accent6 2 2 2 5 5" xfId="13491"/>
    <cellStyle name="40% - Accent6 2 2 2 6" xfId="5166"/>
    <cellStyle name="40% - Accent6 2 2 2 6 2" xfId="13492"/>
    <cellStyle name="40% - Accent6 2 2 2 7" xfId="5884"/>
    <cellStyle name="40% - Accent6 2 2 2 7 2" xfId="14166"/>
    <cellStyle name="40% - Accent6 2 2 2 8" xfId="8206"/>
    <cellStyle name="40% - Accent6 2 2 2 8 2" xfId="16488"/>
    <cellStyle name="40% - Accent6 2 2 2 9" xfId="10700"/>
    <cellStyle name="40% - Accent6 2 2 2 9 2" xfId="18978"/>
    <cellStyle name="40% - Accent6 2 2 3" xfId="2132"/>
    <cellStyle name="40% - Accent6 2 2 3 10" xfId="5167"/>
    <cellStyle name="40% - Accent6 2 2 3 11" xfId="13493"/>
    <cellStyle name="40% - Accent6 2 2 3 2" xfId="2133"/>
    <cellStyle name="40% - Accent6 2 2 3 2 2" xfId="2134"/>
    <cellStyle name="40% - Accent6 2 2 3 2 2 2" xfId="8215"/>
    <cellStyle name="40% - Accent6 2 2 3 2 2 2 2" xfId="16497"/>
    <cellStyle name="40% - Accent6 2 2 3 2 2 3" xfId="10709"/>
    <cellStyle name="40% - Accent6 2 2 3 2 2 3 2" xfId="18987"/>
    <cellStyle name="40% - Accent6 2 2 3 2 2 4" xfId="5169"/>
    <cellStyle name="40% - Accent6 2 2 3 2 2 5" xfId="13495"/>
    <cellStyle name="40% - Accent6 2 2 3 2 3" xfId="8214"/>
    <cellStyle name="40% - Accent6 2 2 3 2 3 2" xfId="16496"/>
    <cellStyle name="40% - Accent6 2 2 3 2 4" xfId="10708"/>
    <cellStyle name="40% - Accent6 2 2 3 2 4 2" xfId="18986"/>
    <cellStyle name="40% - Accent6 2 2 3 2 5" xfId="5168"/>
    <cellStyle name="40% - Accent6 2 2 3 2 6" xfId="13494"/>
    <cellStyle name="40% - Accent6 2 2 3 3" xfId="2135"/>
    <cellStyle name="40% - Accent6 2 2 3 3 2" xfId="2136"/>
    <cellStyle name="40% - Accent6 2 2 3 3 2 2" xfId="8217"/>
    <cellStyle name="40% - Accent6 2 2 3 3 2 2 2" xfId="16499"/>
    <cellStyle name="40% - Accent6 2 2 3 3 2 3" xfId="10711"/>
    <cellStyle name="40% - Accent6 2 2 3 3 2 3 2" xfId="18989"/>
    <cellStyle name="40% - Accent6 2 2 3 3 2 4" xfId="5171"/>
    <cellStyle name="40% - Accent6 2 2 3 3 2 5" xfId="13497"/>
    <cellStyle name="40% - Accent6 2 2 3 3 3" xfId="8216"/>
    <cellStyle name="40% - Accent6 2 2 3 3 3 2" xfId="16498"/>
    <cellStyle name="40% - Accent6 2 2 3 3 4" xfId="10710"/>
    <cellStyle name="40% - Accent6 2 2 3 3 4 2" xfId="18988"/>
    <cellStyle name="40% - Accent6 2 2 3 3 5" xfId="5170"/>
    <cellStyle name="40% - Accent6 2 2 3 3 6" xfId="13496"/>
    <cellStyle name="40% - Accent6 2 2 3 4" xfId="2137"/>
    <cellStyle name="40% - Accent6 2 2 3 4 2" xfId="8218"/>
    <cellStyle name="40% - Accent6 2 2 3 4 2 2" xfId="16500"/>
    <cellStyle name="40% - Accent6 2 2 3 4 3" xfId="10712"/>
    <cellStyle name="40% - Accent6 2 2 3 4 3 2" xfId="18990"/>
    <cellStyle name="40% - Accent6 2 2 3 4 4" xfId="5172"/>
    <cellStyle name="40% - Accent6 2 2 3 4 5" xfId="13498"/>
    <cellStyle name="40% - Accent6 2 2 3 5" xfId="2138"/>
    <cellStyle name="40% - Accent6 2 2 3 5 2" xfId="8219"/>
    <cellStyle name="40% - Accent6 2 2 3 5 2 2" xfId="16501"/>
    <cellStyle name="40% - Accent6 2 2 3 5 3" xfId="10713"/>
    <cellStyle name="40% - Accent6 2 2 3 5 3 2" xfId="18991"/>
    <cellStyle name="40% - Accent6 2 2 3 5 4" xfId="5173"/>
    <cellStyle name="40% - Accent6 2 2 3 5 5" xfId="13499"/>
    <cellStyle name="40% - Accent6 2 2 3 6" xfId="5174"/>
    <cellStyle name="40% - Accent6 2 2 3 6 2" xfId="13500"/>
    <cellStyle name="40% - Accent6 2 2 3 7" xfId="5982"/>
    <cellStyle name="40% - Accent6 2 2 3 7 2" xfId="14264"/>
    <cellStyle name="40% - Accent6 2 2 3 8" xfId="8213"/>
    <cellStyle name="40% - Accent6 2 2 3 8 2" xfId="16495"/>
    <cellStyle name="40% - Accent6 2 2 3 9" xfId="10707"/>
    <cellStyle name="40% - Accent6 2 2 3 9 2" xfId="18985"/>
    <cellStyle name="40% - Accent6 2 2 4" xfId="2139"/>
    <cellStyle name="40% - Accent6 2 2 4 10" xfId="13501"/>
    <cellStyle name="40% - Accent6 2 2 4 2" xfId="2140"/>
    <cellStyle name="40% - Accent6 2 2 4 2 2" xfId="2141"/>
    <cellStyle name="40% - Accent6 2 2 4 2 2 2" xfId="8222"/>
    <cellStyle name="40% - Accent6 2 2 4 2 2 2 2" xfId="16504"/>
    <cellStyle name="40% - Accent6 2 2 4 2 2 3" xfId="10716"/>
    <cellStyle name="40% - Accent6 2 2 4 2 2 3 2" xfId="18994"/>
    <cellStyle name="40% - Accent6 2 2 4 2 2 4" xfId="5177"/>
    <cellStyle name="40% - Accent6 2 2 4 2 2 5" xfId="13503"/>
    <cellStyle name="40% - Accent6 2 2 4 2 3" xfId="8221"/>
    <cellStyle name="40% - Accent6 2 2 4 2 3 2" xfId="16503"/>
    <cellStyle name="40% - Accent6 2 2 4 2 4" xfId="10715"/>
    <cellStyle name="40% - Accent6 2 2 4 2 4 2" xfId="18993"/>
    <cellStyle name="40% - Accent6 2 2 4 2 5" xfId="5176"/>
    <cellStyle name="40% - Accent6 2 2 4 2 6" xfId="13502"/>
    <cellStyle name="40% - Accent6 2 2 4 3" xfId="2142"/>
    <cellStyle name="40% - Accent6 2 2 4 3 2" xfId="8223"/>
    <cellStyle name="40% - Accent6 2 2 4 3 2 2" xfId="16505"/>
    <cellStyle name="40% - Accent6 2 2 4 3 3" xfId="10717"/>
    <cellStyle name="40% - Accent6 2 2 4 3 3 2" xfId="18995"/>
    <cellStyle name="40% - Accent6 2 2 4 3 4" xfId="5178"/>
    <cellStyle name="40% - Accent6 2 2 4 3 5" xfId="13504"/>
    <cellStyle name="40% - Accent6 2 2 4 4" xfId="2143"/>
    <cellStyle name="40% - Accent6 2 2 4 4 2" xfId="8224"/>
    <cellStyle name="40% - Accent6 2 2 4 4 2 2" xfId="16506"/>
    <cellStyle name="40% - Accent6 2 2 4 4 3" xfId="10718"/>
    <cellStyle name="40% - Accent6 2 2 4 4 3 2" xfId="18996"/>
    <cellStyle name="40% - Accent6 2 2 4 4 4" xfId="5179"/>
    <cellStyle name="40% - Accent6 2 2 4 4 5" xfId="13505"/>
    <cellStyle name="40% - Accent6 2 2 4 5" xfId="5180"/>
    <cellStyle name="40% - Accent6 2 2 4 5 2" xfId="13506"/>
    <cellStyle name="40% - Accent6 2 2 4 6" xfId="5798"/>
    <cellStyle name="40% - Accent6 2 2 4 6 2" xfId="14080"/>
    <cellStyle name="40% - Accent6 2 2 4 7" xfId="8220"/>
    <cellStyle name="40% - Accent6 2 2 4 7 2" xfId="16502"/>
    <cellStyle name="40% - Accent6 2 2 4 8" xfId="10714"/>
    <cellStyle name="40% - Accent6 2 2 4 8 2" xfId="18992"/>
    <cellStyle name="40% - Accent6 2 2 4 9" xfId="5175"/>
    <cellStyle name="40% - Accent6 2 2 5" xfId="2144"/>
    <cellStyle name="40% - Accent6 2 2 5 2" xfId="2145"/>
    <cellStyle name="40% - Accent6 2 2 5 2 2" xfId="8226"/>
    <cellStyle name="40% - Accent6 2 2 5 2 2 2" xfId="16508"/>
    <cellStyle name="40% - Accent6 2 2 5 2 3" xfId="10720"/>
    <cellStyle name="40% - Accent6 2 2 5 2 3 2" xfId="18998"/>
    <cellStyle name="40% - Accent6 2 2 5 2 4" xfId="5182"/>
    <cellStyle name="40% - Accent6 2 2 5 2 5" xfId="13508"/>
    <cellStyle name="40% - Accent6 2 2 5 3" xfId="8225"/>
    <cellStyle name="40% - Accent6 2 2 5 3 2" xfId="16507"/>
    <cellStyle name="40% - Accent6 2 2 5 4" xfId="10719"/>
    <cellStyle name="40% - Accent6 2 2 5 4 2" xfId="18997"/>
    <cellStyle name="40% - Accent6 2 2 5 5" xfId="5181"/>
    <cellStyle name="40% - Accent6 2 2 5 6" xfId="13507"/>
    <cellStyle name="40% - Accent6 2 2 6" xfId="2146"/>
    <cellStyle name="40% - Accent6 2 2 6 2" xfId="2147"/>
    <cellStyle name="40% - Accent6 2 2 6 2 2" xfId="8228"/>
    <cellStyle name="40% - Accent6 2 2 6 2 2 2" xfId="16510"/>
    <cellStyle name="40% - Accent6 2 2 6 2 3" xfId="10722"/>
    <cellStyle name="40% - Accent6 2 2 6 2 3 2" xfId="19000"/>
    <cellStyle name="40% - Accent6 2 2 6 2 4" xfId="5184"/>
    <cellStyle name="40% - Accent6 2 2 6 2 5" xfId="13510"/>
    <cellStyle name="40% - Accent6 2 2 6 3" xfId="8227"/>
    <cellStyle name="40% - Accent6 2 2 6 3 2" xfId="16509"/>
    <cellStyle name="40% - Accent6 2 2 6 4" xfId="10721"/>
    <cellStyle name="40% - Accent6 2 2 6 4 2" xfId="18999"/>
    <cellStyle name="40% - Accent6 2 2 6 5" xfId="5183"/>
    <cellStyle name="40% - Accent6 2 2 6 6" xfId="13509"/>
    <cellStyle name="40% - Accent6 2 2 7" xfId="2148"/>
    <cellStyle name="40% - Accent6 2 2 7 2" xfId="8229"/>
    <cellStyle name="40% - Accent6 2 2 7 2 2" xfId="16511"/>
    <cellStyle name="40% - Accent6 2 2 7 3" xfId="10723"/>
    <cellStyle name="40% - Accent6 2 2 7 3 2" xfId="19001"/>
    <cellStyle name="40% - Accent6 2 2 7 4" xfId="5185"/>
    <cellStyle name="40% - Accent6 2 2 7 5" xfId="13511"/>
    <cellStyle name="40% - Accent6 2 2 8" xfId="2149"/>
    <cellStyle name="40% - Accent6 2 2 8 2" xfId="8230"/>
    <cellStyle name="40% - Accent6 2 2 8 2 2" xfId="16512"/>
    <cellStyle name="40% - Accent6 2 2 8 3" xfId="10724"/>
    <cellStyle name="40% - Accent6 2 2 8 3 2" xfId="19002"/>
    <cellStyle name="40% - Accent6 2 2 8 4" xfId="5186"/>
    <cellStyle name="40% - Accent6 2 2 8 5" xfId="13512"/>
    <cellStyle name="40% - Accent6 2 2 9" xfId="5187"/>
    <cellStyle name="40% - Accent6 2 2 9 2" xfId="13513"/>
    <cellStyle name="40% - Accent6 2 3" xfId="2150"/>
    <cellStyle name="40% - Accent6 2 3 10" xfId="5710"/>
    <cellStyle name="40% - Accent6 2 3 10 2" xfId="13996"/>
    <cellStyle name="40% - Accent6 2 3 11" xfId="8231"/>
    <cellStyle name="40% - Accent6 2 3 11 2" xfId="16513"/>
    <cellStyle name="40% - Accent6 2 3 12" xfId="10725"/>
    <cellStyle name="40% - Accent6 2 3 12 2" xfId="19003"/>
    <cellStyle name="40% - Accent6 2 3 13" xfId="5188"/>
    <cellStyle name="40% - Accent6 2 3 14" xfId="13514"/>
    <cellStyle name="40% - Accent6 2 3 2" xfId="2151"/>
    <cellStyle name="40% - Accent6 2 3 2 10" xfId="5189"/>
    <cellStyle name="40% - Accent6 2 3 2 11" xfId="13515"/>
    <cellStyle name="40% - Accent6 2 3 2 2" xfId="2152"/>
    <cellStyle name="40% - Accent6 2 3 2 2 2" xfId="2153"/>
    <cellStyle name="40% - Accent6 2 3 2 2 2 2" xfId="8234"/>
    <cellStyle name="40% - Accent6 2 3 2 2 2 2 2" xfId="16516"/>
    <cellStyle name="40% - Accent6 2 3 2 2 2 3" xfId="10728"/>
    <cellStyle name="40% - Accent6 2 3 2 2 2 3 2" xfId="19006"/>
    <cellStyle name="40% - Accent6 2 3 2 2 2 4" xfId="5191"/>
    <cellStyle name="40% - Accent6 2 3 2 2 2 5" xfId="13517"/>
    <cellStyle name="40% - Accent6 2 3 2 2 3" xfId="8233"/>
    <cellStyle name="40% - Accent6 2 3 2 2 3 2" xfId="16515"/>
    <cellStyle name="40% - Accent6 2 3 2 2 4" xfId="10727"/>
    <cellStyle name="40% - Accent6 2 3 2 2 4 2" xfId="19005"/>
    <cellStyle name="40% - Accent6 2 3 2 2 5" xfId="5190"/>
    <cellStyle name="40% - Accent6 2 3 2 2 6" xfId="13516"/>
    <cellStyle name="40% - Accent6 2 3 2 3" xfId="2154"/>
    <cellStyle name="40% - Accent6 2 3 2 3 2" xfId="2155"/>
    <cellStyle name="40% - Accent6 2 3 2 3 2 2" xfId="8236"/>
    <cellStyle name="40% - Accent6 2 3 2 3 2 2 2" xfId="16518"/>
    <cellStyle name="40% - Accent6 2 3 2 3 2 3" xfId="10730"/>
    <cellStyle name="40% - Accent6 2 3 2 3 2 3 2" xfId="19008"/>
    <cellStyle name="40% - Accent6 2 3 2 3 2 4" xfId="5193"/>
    <cellStyle name="40% - Accent6 2 3 2 3 2 5" xfId="13519"/>
    <cellStyle name="40% - Accent6 2 3 2 3 3" xfId="8235"/>
    <cellStyle name="40% - Accent6 2 3 2 3 3 2" xfId="16517"/>
    <cellStyle name="40% - Accent6 2 3 2 3 4" xfId="10729"/>
    <cellStyle name="40% - Accent6 2 3 2 3 4 2" xfId="19007"/>
    <cellStyle name="40% - Accent6 2 3 2 3 5" xfId="5192"/>
    <cellStyle name="40% - Accent6 2 3 2 3 6" xfId="13518"/>
    <cellStyle name="40% - Accent6 2 3 2 4" xfId="2156"/>
    <cellStyle name="40% - Accent6 2 3 2 4 2" xfId="8237"/>
    <cellStyle name="40% - Accent6 2 3 2 4 2 2" xfId="16519"/>
    <cellStyle name="40% - Accent6 2 3 2 4 3" xfId="10731"/>
    <cellStyle name="40% - Accent6 2 3 2 4 3 2" xfId="19009"/>
    <cellStyle name="40% - Accent6 2 3 2 4 4" xfId="5194"/>
    <cellStyle name="40% - Accent6 2 3 2 4 5" xfId="13520"/>
    <cellStyle name="40% - Accent6 2 3 2 5" xfId="2157"/>
    <cellStyle name="40% - Accent6 2 3 2 5 2" xfId="8238"/>
    <cellStyle name="40% - Accent6 2 3 2 5 2 2" xfId="16520"/>
    <cellStyle name="40% - Accent6 2 3 2 5 3" xfId="10732"/>
    <cellStyle name="40% - Accent6 2 3 2 5 3 2" xfId="19010"/>
    <cellStyle name="40% - Accent6 2 3 2 5 4" xfId="5195"/>
    <cellStyle name="40% - Accent6 2 3 2 5 5" xfId="13521"/>
    <cellStyle name="40% - Accent6 2 3 2 6" xfId="5196"/>
    <cellStyle name="40% - Accent6 2 3 2 6 2" xfId="13522"/>
    <cellStyle name="40% - Accent6 2 3 2 7" xfId="5912"/>
    <cellStyle name="40% - Accent6 2 3 2 7 2" xfId="14194"/>
    <cellStyle name="40% - Accent6 2 3 2 8" xfId="8232"/>
    <cellStyle name="40% - Accent6 2 3 2 8 2" xfId="16514"/>
    <cellStyle name="40% - Accent6 2 3 2 9" xfId="10726"/>
    <cellStyle name="40% - Accent6 2 3 2 9 2" xfId="19004"/>
    <cellStyle name="40% - Accent6 2 3 3" xfId="2158"/>
    <cellStyle name="40% - Accent6 2 3 3 10" xfId="5197"/>
    <cellStyle name="40% - Accent6 2 3 3 11" xfId="13523"/>
    <cellStyle name="40% - Accent6 2 3 3 2" xfId="2159"/>
    <cellStyle name="40% - Accent6 2 3 3 2 2" xfId="2160"/>
    <cellStyle name="40% - Accent6 2 3 3 2 2 2" xfId="8241"/>
    <cellStyle name="40% - Accent6 2 3 3 2 2 2 2" xfId="16523"/>
    <cellStyle name="40% - Accent6 2 3 3 2 2 3" xfId="10735"/>
    <cellStyle name="40% - Accent6 2 3 3 2 2 3 2" xfId="19013"/>
    <cellStyle name="40% - Accent6 2 3 3 2 2 4" xfId="5199"/>
    <cellStyle name="40% - Accent6 2 3 3 2 2 5" xfId="13525"/>
    <cellStyle name="40% - Accent6 2 3 3 2 3" xfId="8240"/>
    <cellStyle name="40% - Accent6 2 3 3 2 3 2" xfId="16522"/>
    <cellStyle name="40% - Accent6 2 3 3 2 4" xfId="10734"/>
    <cellStyle name="40% - Accent6 2 3 3 2 4 2" xfId="19012"/>
    <cellStyle name="40% - Accent6 2 3 3 2 5" xfId="5198"/>
    <cellStyle name="40% - Accent6 2 3 3 2 6" xfId="13524"/>
    <cellStyle name="40% - Accent6 2 3 3 3" xfId="2161"/>
    <cellStyle name="40% - Accent6 2 3 3 3 2" xfId="2162"/>
    <cellStyle name="40% - Accent6 2 3 3 3 2 2" xfId="8243"/>
    <cellStyle name="40% - Accent6 2 3 3 3 2 2 2" xfId="16525"/>
    <cellStyle name="40% - Accent6 2 3 3 3 2 3" xfId="10737"/>
    <cellStyle name="40% - Accent6 2 3 3 3 2 3 2" xfId="19015"/>
    <cellStyle name="40% - Accent6 2 3 3 3 2 4" xfId="5201"/>
    <cellStyle name="40% - Accent6 2 3 3 3 2 5" xfId="13527"/>
    <cellStyle name="40% - Accent6 2 3 3 3 3" xfId="8242"/>
    <cellStyle name="40% - Accent6 2 3 3 3 3 2" xfId="16524"/>
    <cellStyle name="40% - Accent6 2 3 3 3 4" xfId="10736"/>
    <cellStyle name="40% - Accent6 2 3 3 3 4 2" xfId="19014"/>
    <cellStyle name="40% - Accent6 2 3 3 3 5" xfId="5200"/>
    <cellStyle name="40% - Accent6 2 3 3 3 6" xfId="13526"/>
    <cellStyle name="40% - Accent6 2 3 3 4" xfId="2163"/>
    <cellStyle name="40% - Accent6 2 3 3 4 2" xfId="8244"/>
    <cellStyle name="40% - Accent6 2 3 3 4 2 2" xfId="16526"/>
    <cellStyle name="40% - Accent6 2 3 3 4 3" xfId="10738"/>
    <cellStyle name="40% - Accent6 2 3 3 4 3 2" xfId="19016"/>
    <cellStyle name="40% - Accent6 2 3 3 4 4" xfId="5202"/>
    <cellStyle name="40% - Accent6 2 3 3 4 5" xfId="13528"/>
    <cellStyle name="40% - Accent6 2 3 3 5" xfId="2164"/>
    <cellStyle name="40% - Accent6 2 3 3 5 2" xfId="8245"/>
    <cellStyle name="40% - Accent6 2 3 3 5 2 2" xfId="16527"/>
    <cellStyle name="40% - Accent6 2 3 3 5 3" xfId="10739"/>
    <cellStyle name="40% - Accent6 2 3 3 5 3 2" xfId="19017"/>
    <cellStyle name="40% - Accent6 2 3 3 5 4" xfId="5203"/>
    <cellStyle name="40% - Accent6 2 3 3 5 5" xfId="13529"/>
    <cellStyle name="40% - Accent6 2 3 3 6" xfId="5204"/>
    <cellStyle name="40% - Accent6 2 3 3 6 2" xfId="13530"/>
    <cellStyle name="40% - Accent6 2 3 3 7" xfId="6010"/>
    <cellStyle name="40% - Accent6 2 3 3 7 2" xfId="14292"/>
    <cellStyle name="40% - Accent6 2 3 3 8" xfId="8239"/>
    <cellStyle name="40% - Accent6 2 3 3 8 2" xfId="16521"/>
    <cellStyle name="40% - Accent6 2 3 3 9" xfId="10733"/>
    <cellStyle name="40% - Accent6 2 3 3 9 2" xfId="19011"/>
    <cellStyle name="40% - Accent6 2 3 4" xfId="2165"/>
    <cellStyle name="40% - Accent6 2 3 4 10" xfId="13531"/>
    <cellStyle name="40% - Accent6 2 3 4 2" xfId="2166"/>
    <cellStyle name="40% - Accent6 2 3 4 2 2" xfId="2167"/>
    <cellStyle name="40% - Accent6 2 3 4 2 2 2" xfId="8248"/>
    <cellStyle name="40% - Accent6 2 3 4 2 2 2 2" xfId="16530"/>
    <cellStyle name="40% - Accent6 2 3 4 2 2 3" xfId="10742"/>
    <cellStyle name="40% - Accent6 2 3 4 2 2 3 2" xfId="19020"/>
    <cellStyle name="40% - Accent6 2 3 4 2 2 4" xfId="5207"/>
    <cellStyle name="40% - Accent6 2 3 4 2 2 5" xfId="13533"/>
    <cellStyle name="40% - Accent6 2 3 4 2 3" xfId="8247"/>
    <cellStyle name="40% - Accent6 2 3 4 2 3 2" xfId="16529"/>
    <cellStyle name="40% - Accent6 2 3 4 2 4" xfId="10741"/>
    <cellStyle name="40% - Accent6 2 3 4 2 4 2" xfId="19019"/>
    <cellStyle name="40% - Accent6 2 3 4 2 5" xfId="5206"/>
    <cellStyle name="40% - Accent6 2 3 4 2 6" xfId="13532"/>
    <cellStyle name="40% - Accent6 2 3 4 3" xfId="2168"/>
    <cellStyle name="40% - Accent6 2 3 4 3 2" xfId="8249"/>
    <cellStyle name="40% - Accent6 2 3 4 3 2 2" xfId="16531"/>
    <cellStyle name="40% - Accent6 2 3 4 3 3" xfId="10743"/>
    <cellStyle name="40% - Accent6 2 3 4 3 3 2" xfId="19021"/>
    <cellStyle name="40% - Accent6 2 3 4 3 4" xfId="5208"/>
    <cellStyle name="40% - Accent6 2 3 4 3 5" xfId="13534"/>
    <cellStyle name="40% - Accent6 2 3 4 4" xfId="2169"/>
    <cellStyle name="40% - Accent6 2 3 4 4 2" xfId="8250"/>
    <cellStyle name="40% - Accent6 2 3 4 4 2 2" xfId="16532"/>
    <cellStyle name="40% - Accent6 2 3 4 4 3" xfId="10744"/>
    <cellStyle name="40% - Accent6 2 3 4 4 3 2" xfId="19022"/>
    <cellStyle name="40% - Accent6 2 3 4 4 4" xfId="5209"/>
    <cellStyle name="40% - Accent6 2 3 4 4 5" xfId="13535"/>
    <cellStyle name="40% - Accent6 2 3 4 5" xfId="5210"/>
    <cellStyle name="40% - Accent6 2 3 4 5 2" xfId="13536"/>
    <cellStyle name="40% - Accent6 2 3 4 6" xfId="5826"/>
    <cellStyle name="40% - Accent6 2 3 4 6 2" xfId="14108"/>
    <cellStyle name="40% - Accent6 2 3 4 7" xfId="8246"/>
    <cellStyle name="40% - Accent6 2 3 4 7 2" xfId="16528"/>
    <cellStyle name="40% - Accent6 2 3 4 8" xfId="10740"/>
    <cellStyle name="40% - Accent6 2 3 4 8 2" xfId="19018"/>
    <cellStyle name="40% - Accent6 2 3 4 9" xfId="5205"/>
    <cellStyle name="40% - Accent6 2 3 5" xfId="2170"/>
    <cellStyle name="40% - Accent6 2 3 5 2" xfId="2171"/>
    <cellStyle name="40% - Accent6 2 3 5 2 2" xfId="8252"/>
    <cellStyle name="40% - Accent6 2 3 5 2 2 2" xfId="16534"/>
    <cellStyle name="40% - Accent6 2 3 5 2 3" xfId="10746"/>
    <cellStyle name="40% - Accent6 2 3 5 2 3 2" xfId="19024"/>
    <cellStyle name="40% - Accent6 2 3 5 2 4" xfId="5212"/>
    <cellStyle name="40% - Accent6 2 3 5 2 5" xfId="13538"/>
    <cellStyle name="40% - Accent6 2 3 5 3" xfId="8251"/>
    <cellStyle name="40% - Accent6 2 3 5 3 2" xfId="16533"/>
    <cellStyle name="40% - Accent6 2 3 5 4" xfId="10745"/>
    <cellStyle name="40% - Accent6 2 3 5 4 2" xfId="19023"/>
    <cellStyle name="40% - Accent6 2 3 5 5" xfId="5211"/>
    <cellStyle name="40% - Accent6 2 3 5 6" xfId="13537"/>
    <cellStyle name="40% - Accent6 2 3 6" xfId="2172"/>
    <cellStyle name="40% - Accent6 2 3 6 2" xfId="2173"/>
    <cellStyle name="40% - Accent6 2 3 6 2 2" xfId="8254"/>
    <cellStyle name="40% - Accent6 2 3 6 2 2 2" xfId="16536"/>
    <cellStyle name="40% - Accent6 2 3 6 2 3" xfId="10748"/>
    <cellStyle name="40% - Accent6 2 3 6 2 3 2" xfId="19026"/>
    <cellStyle name="40% - Accent6 2 3 6 2 4" xfId="5214"/>
    <cellStyle name="40% - Accent6 2 3 6 2 5" xfId="13540"/>
    <cellStyle name="40% - Accent6 2 3 6 3" xfId="8253"/>
    <cellStyle name="40% - Accent6 2 3 6 3 2" xfId="16535"/>
    <cellStyle name="40% - Accent6 2 3 6 4" xfId="10747"/>
    <cellStyle name="40% - Accent6 2 3 6 4 2" xfId="19025"/>
    <cellStyle name="40% - Accent6 2 3 6 5" xfId="5213"/>
    <cellStyle name="40% - Accent6 2 3 6 6" xfId="13539"/>
    <cellStyle name="40% - Accent6 2 3 7" xfId="2174"/>
    <cellStyle name="40% - Accent6 2 3 7 2" xfId="8255"/>
    <cellStyle name="40% - Accent6 2 3 7 2 2" xfId="16537"/>
    <cellStyle name="40% - Accent6 2 3 7 3" xfId="10749"/>
    <cellStyle name="40% - Accent6 2 3 7 3 2" xfId="19027"/>
    <cellStyle name="40% - Accent6 2 3 7 4" xfId="5215"/>
    <cellStyle name="40% - Accent6 2 3 7 5" xfId="13541"/>
    <cellStyle name="40% - Accent6 2 3 8" xfId="2175"/>
    <cellStyle name="40% - Accent6 2 3 8 2" xfId="8256"/>
    <cellStyle name="40% - Accent6 2 3 8 2 2" xfId="16538"/>
    <cellStyle name="40% - Accent6 2 3 8 3" xfId="10750"/>
    <cellStyle name="40% - Accent6 2 3 8 3 2" xfId="19028"/>
    <cellStyle name="40% - Accent6 2 3 8 4" xfId="5216"/>
    <cellStyle name="40% - Accent6 2 3 8 5" xfId="13542"/>
    <cellStyle name="40% - Accent6 2 3 9" xfId="5217"/>
    <cellStyle name="40% - Accent6 2 3 9 2" xfId="13543"/>
    <cellStyle name="40% - Accent6 2 4" xfId="2176"/>
    <cellStyle name="40% - Accent6 2 4 10" xfId="5218"/>
    <cellStyle name="40% - Accent6 2 4 11" xfId="13544"/>
    <cellStyle name="40% - Accent6 2 4 2" xfId="2177"/>
    <cellStyle name="40% - Accent6 2 4 2 2" xfId="2178"/>
    <cellStyle name="40% - Accent6 2 4 2 2 2" xfId="8259"/>
    <cellStyle name="40% - Accent6 2 4 2 2 2 2" xfId="16541"/>
    <cellStyle name="40% - Accent6 2 4 2 2 3" xfId="10753"/>
    <cellStyle name="40% - Accent6 2 4 2 2 3 2" xfId="19031"/>
    <cellStyle name="40% - Accent6 2 4 2 2 4" xfId="5220"/>
    <cellStyle name="40% - Accent6 2 4 2 2 5" xfId="13546"/>
    <cellStyle name="40% - Accent6 2 4 2 3" xfId="8258"/>
    <cellStyle name="40% - Accent6 2 4 2 3 2" xfId="16540"/>
    <cellStyle name="40% - Accent6 2 4 2 4" xfId="10752"/>
    <cellStyle name="40% - Accent6 2 4 2 4 2" xfId="19030"/>
    <cellStyle name="40% - Accent6 2 4 2 5" xfId="5219"/>
    <cellStyle name="40% - Accent6 2 4 2 6" xfId="13545"/>
    <cellStyle name="40% - Accent6 2 4 3" xfId="2179"/>
    <cellStyle name="40% - Accent6 2 4 3 2" xfId="2180"/>
    <cellStyle name="40% - Accent6 2 4 3 2 2" xfId="8261"/>
    <cellStyle name="40% - Accent6 2 4 3 2 2 2" xfId="16543"/>
    <cellStyle name="40% - Accent6 2 4 3 2 3" xfId="10755"/>
    <cellStyle name="40% - Accent6 2 4 3 2 3 2" xfId="19033"/>
    <cellStyle name="40% - Accent6 2 4 3 2 4" xfId="5222"/>
    <cellStyle name="40% - Accent6 2 4 3 2 5" xfId="13548"/>
    <cellStyle name="40% - Accent6 2 4 3 3" xfId="8260"/>
    <cellStyle name="40% - Accent6 2 4 3 3 2" xfId="16542"/>
    <cellStyle name="40% - Accent6 2 4 3 4" xfId="10754"/>
    <cellStyle name="40% - Accent6 2 4 3 4 2" xfId="19032"/>
    <cellStyle name="40% - Accent6 2 4 3 5" xfId="5221"/>
    <cellStyle name="40% - Accent6 2 4 3 6" xfId="13547"/>
    <cellStyle name="40% - Accent6 2 4 4" xfId="2181"/>
    <cellStyle name="40% - Accent6 2 4 4 2" xfId="8262"/>
    <cellStyle name="40% - Accent6 2 4 4 2 2" xfId="16544"/>
    <cellStyle name="40% - Accent6 2 4 4 3" xfId="10756"/>
    <cellStyle name="40% - Accent6 2 4 4 3 2" xfId="19034"/>
    <cellStyle name="40% - Accent6 2 4 4 4" xfId="5223"/>
    <cellStyle name="40% - Accent6 2 4 4 5" xfId="13549"/>
    <cellStyle name="40% - Accent6 2 4 5" xfId="2182"/>
    <cellStyle name="40% - Accent6 2 4 5 2" xfId="8263"/>
    <cellStyle name="40% - Accent6 2 4 5 2 2" xfId="16545"/>
    <cellStyle name="40% - Accent6 2 4 5 3" xfId="10757"/>
    <cellStyle name="40% - Accent6 2 4 5 3 2" xfId="19035"/>
    <cellStyle name="40% - Accent6 2 4 5 4" xfId="5224"/>
    <cellStyle name="40% - Accent6 2 4 5 5" xfId="13550"/>
    <cellStyle name="40% - Accent6 2 4 6" xfId="5225"/>
    <cellStyle name="40% - Accent6 2 4 6 2" xfId="13551"/>
    <cellStyle name="40% - Accent6 2 4 7" xfId="5766"/>
    <cellStyle name="40% - Accent6 2 4 7 2" xfId="14050"/>
    <cellStyle name="40% - Accent6 2 4 8" xfId="8257"/>
    <cellStyle name="40% - Accent6 2 4 8 2" xfId="16539"/>
    <cellStyle name="40% - Accent6 2 4 9" xfId="10751"/>
    <cellStyle name="40% - Accent6 2 4 9 2" xfId="19029"/>
    <cellStyle name="40% - Accent6 2 5" xfId="2183"/>
    <cellStyle name="40% - Accent6 2 5 10" xfId="5226"/>
    <cellStyle name="40% - Accent6 2 5 11" xfId="13552"/>
    <cellStyle name="40% - Accent6 2 5 2" xfId="2184"/>
    <cellStyle name="40% - Accent6 2 5 2 2" xfId="2185"/>
    <cellStyle name="40% - Accent6 2 5 2 2 2" xfId="8266"/>
    <cellStyle name="40% - Accent6 2 5 2 2 2 2" xfId="16548"/>
    <cellStyle name="40% - Accent6 2 5 2 2 3" xfId="10760"/>
    <cellStyle name="40% - Accent6 2 5 2 2 3 2" xfId="19038"/>
    <cellStyle name="40% - Accent6 2 5 2 2 4" xfId="5228"/>
    <cellStyle name="40% - Accent6 2 5 2 2 5" xfId="13554"/>
    <cellStyle name="40% - Accent6 2 5 2 3" xfId="8265"/>
    <cellStyle name="40% - Accent6 2 5 2 3 2" xfId="16547"/>
    <cellStyle name="40% - Accent6 2 5 2 4" xfId="10759"/>
    <cellStyle name="40% - Accent6 2 5 2 4 2" xfId="19037"/>
    <cellStyle name="40% - Accent6 2 5 2 5" xfId="5227"/>
    <cellStyle name="40% - Accent6 2 5 2 6" xfId="13553"/>
    <cellStyle name="40% - Accent6 2 5 3" xfId="2186"/>
    <cellStyle name="40% - Accent6 2 5 3 2" xfId="2187"/>
    <cellStyle name="40% - Accent6 2 5 3 2 2" xfId="8268"/>
    <cellStyle name="40% - Accent6 2 5 3 2 2 2" xfId="16550"/>
    <cellStyle name="40% - Accent6 2 5 3 2 3" xfId="10762"/>
    <cellStyle name="40% - Accent6 2 5 3 2 3 2" xfId="19040"/>
    <cellStyle name="40% - Accent6 2 5 3 2 4" xfId="5230"/>
    <cellStyle name="40% - Accent6 2 5 3 2 5" xfId="13556"/>
    <cellStyle name="40% - Accent6 2 5 3 3" xfId="8267"/>
    <cellStyle name="40% - Accent6 2 5 3 3 2" xfId="16549"/>
    <cellStyle name="40% - Accent6 2 5 3 4" xfId="10761"/>
    <cellStyle name="40% - Accent6 2 5 3 4 2" xfId="19039"/>
    <cellStyle name="40% - Accent6 2 5 3 5" xfId="5229"/>
    <cellStyle name="40% - Accent6 2 5 3 6" xfId="13555"/>
    <cellStyle name="40% - Accent6 2 5 4" xfId="2188"/>
    <cellStyle name="40% - Accent6 2 5 4 2" xfId="8269"/>
    <cellStyle name="40% - Accent6 2 5 4 2 2" xfId="16551"/>
    <cellStyle name="40% - Accent6 2 5 4 3" xfId="10763"/>
    <cellStyle name="40% - Accent6 2 5 4 3 2" xfId="19041"/>
    <cellStyle name="40% - Accent6 2 5 4 4" xfId="5231"/>
    <cellStyle name="40% - Accent6 2 5 4 5" xfId="13557"/>
    <cellStyle name="40% - Accent6 2 5 5" xfId="2189"/>
    <cellStyle name="40% - Accent6 2 5 5 2" xfId="8270"/>
    <cellStyle name="40% - Accent6 2 5 5 2 2" xfId="16552"/>
    <cellStyle name="40% - Accent6 2 5 5 3" xfId="10764"/>
    <cellStyle name="40% - Accent6 2 5 5 3 2" xfId="19042"/>
    <cellStyle name="40% - Accent6 2 5 5 4" xfId="5232"/>
    <cellStyle name="40% - Accent6 2 5 5 5" xfId="13558"/>
    <cellStyle name="40% - Accent6 2 5 6" xfId="5233"/>
    <cellStyle name="40% - Accent6 2 5 6 2" xfId="13559"/>
    <cellStyle name="40% - Accent6 2 5 7" xfId="5854"/>
    <cellStyle name="40% - Accent6 2 5 7 2" xfId="14136"/>
    <cellStyle name="40% - Accent6 2 5 8" xfId="8264"/>
    <cellStyle name="40% - Accent6 2 5 8 2" xfId="16546"/>
    <cellStyle name="40% - Accent6 2 5 9" xfId="10758"/>
    <cellStyle name="40% - Accent6 2 5 9 2" xfId="19036"/>
    <cellStyle name="40% - Accent6 2 6" xfId="2190"/>
    <cellStyle name="40% - Accent6 2 6 10" xfId="5234"/>
    <cellStyle name="40% - Accent6 2 6 11" xfId="13560"/>
    <cellStyle name="40% - Accent6 2 6 2" xfId="2191"/>
    <cellStyle name="40% - Accent6 2 6 2 2" xfId="2192"/>
    <cellStyle name="40% - Accent6 2 6 2 2 2" xfId="8273"/>
    <cellStyle name="40% - Accent6 2 6 2 2 2 2" xfId="16555"/>
    <cellStyle name="40% - Accent6 2 6 2 2 3" xfId="10767"/>
    <cellStyle name="40% - Accent6 2 6 2 2 3 2" xfId="19045"/>
    <cellStyle name="40% - Accent6 2 6 2 2 4" xfId="5236"/>
    <cellStyle name="40% - Accent6 2 6 2 2 5" xfId="13562"/>
    <cellStyle name="40% - Accent6 2 6 2 3" xfId="8272"/>
    <cellStyle name="40% - Accent6 2 6 2 3 2" xfId="16554"/>
    <cellStyle name="40% - Accent6 2 6 2 4" xfId="10766"/>
    <cellStyle name="40% - Accent6 2 6 2 4 2" xfId="19044"/>
    <cellStyle name="40% - Accent6 2 6 2 5" xfId="5235"/>
    <cellStyle name="40% - Accent6 2 6 2 6" xfId="13561"/>
    <cellStyle name="40% - Accent6 2 6 3" xfId="2193"/>
    <cellStyle name="40% - Accent6 2 6 3 2" xfId="2194"/>
    <cellStyle name="40% - Accent6 2 6 3 2 2" xfId="8275"/>
    <cellStyle name="40% - Accent6 2 6 3 2 2 2" xfId="16557"/>
    <cellStyle name="40% - Accent6 2 6 3 2 3" xfId="10769"/>
    <cellStyle name="40% - Accent6 2 6 3 2 3 2" xfId="19047"/>
    <cellStyle name="40% - Accent6 2 6 3 2 4" xfId="5238"/>
    <cellStyle name="40% - Accent6 2 6 3 2 5" xfId="13564"/>
    <cellStyle name="40% - Accent6 2 6 3 3" xfId="8274"/>
    <cellStyle name="40% - Accent6 2 6 3 3 2" xfId="16556"/>
    <cellStyle name="40% - Accent6 2 6 3 4" xfId="10768"/>
    <cellStyle name="40% - Accent6 2 6 3 4 2" xfId="19046"/>
    <cellStyle name="40% - Accent6 2 6 3 5" xfId="5237"/>
    <cellStyle name="40% - Accent6 2 6 3 6" xfId="13563"/>
    <cellStyle name="40% - Accent6 2 6 4" xfId="2195"/>
    <cellStyle name="40% - Accent6 2 6 4 2" xfId="8276"/>
    <cellStyle name="40% - Accent6 2 6 4 2 2" xfId="16558"/>
    <cellStyle name="40% - Accent6 2 6 4 3" xfId="10770"/>
    <cellStyle name="40% - Accent6 2 6 4 3 2" xfId="19048"/>
    <cellStyle name="40% - Accent6 2 6 4 4" xfId="5239"/>
    <cellStyle name="40% - Accent6 2 6 4 5" xfId="13565"/>
    <cellStyle name="40% - Accent6 2 6 5" xfId="2196"/>
    <cellStyle name="40% - Accent6 2 6 5 2" xfId="8277"/>
    <cellStyle name="40% - Accent6 2 6 5 2 2" xfId="16559"/>
    <cellStyle name="40% - Accent6 2 6 5 3" xfId="10771"/>
    <cellStyle name="40% - Accent6 2 6 5 3 2" xfId="19049"/>
    <cellStyle name="40% - Accent6 2 6 5 4" xfId="5240"/>
    <cellStyle name="40% - Accent6 2 6 5 5" xfId="13566"/>
    <cellStyle name="40% - Accent6 2 6 6" xfId="5241"/>
    <cellStyle name="40% - Accent6 2 6 6 2" xfId="13567"/>
    <cellStyle name="40% - Accent6 2 6 7" xfId="5952"/>
    <cellStyle name="40% - Accent6 2 6 7 2" xfId="14234"/>
    <cellStyle name="40% - Accent6 2 6 8" xfId="8271"/>
    <cellStyle name="40% - Accent6 2 6 8 2" xfId="16553"/>
    <cellStyle name="40% - Accent6 2 6 9" xfId="10765"/>
    <cellStyle name="40% - Accent6 2 6 9 2" xfId="19043"/>
    <cellStyle name="40% - Accent6 2 7" xfId="2197"/>
    <cellStyle name="40% - Accent6 2 7 10" xfId="13568"/>
    <cellStyle name="40% - Accent6 2 7 2" xfId="2198"/>
    <cellStyle name="40% - Accent6 2 7 2 2" xfId="2199"/>
    <cellStyle name="40% - Accent6 2 7 2 2 2" xfId="8280"/>
    <cellStyle name="40% - Accent6 2 7 2 2 2 2" xfId="16562"/>
    <cellStyle name="40% - Accent6 2 7 2 2 3" xfId="10774"/>
    <cellStyle name="40% - Accent6 2 7 2 2 3 2" xfId="19052"/>
    <cellStyle name="40% - Accent6 2 7 2 2 4" xfId="5244"/>
    <cellStyle name="40% - Accent6 2 7 2 2 5" xfId="13570"/>
    <cellStyle name="40% - Accent6 2 7 2 3" xfId="8279"/>
    <cellStyle name="40% - Accent6 2 7 2 3 2" xfId="16561"/>
    <cellStyle name="40% - Accent6 2 7 2 4" xfId="10773"/>
    <cellStyle name="40% - Accent6 2 7 2 4 2" xfId="19051"/>
    <cellStyle name="40% - Accent6 2 7 2 5" xfId="5243"/>
    <cellStyle name="40% - Accent6 2 7 2 6" xfId="13569"/>
    <cellStyle name="40% - Accent6 2 7 3" xfId="2200"/>
    <cellStyle name="40% - Accent6 2 7 3 2" xfId="8281"/>
    <cellStyle name="40% - Accent6 2 7 3 2 2" xfId="16563"/>
    <cellStyle name="40% - Accent6 2 7 3 3" xfId="10775"/>
    <cellStyle name="40% - Accent6 2 7 3 3 2" xfId="19053"/>
    <cellStyle name="40% - Accent6 2 7 3 4" xfId="5245"/>
    <cellStyle name="40% - Accent6 2 7 3 5" xfId="13571"/>
    <cellStyle name="40% - Accent6 2 7 4" xfId="2201"/>
    <cellStyle name="40% - Accent6 2 7 4 2" xfId="8282"/>
    <cellStyle name="40% - Accent6 2 7 4 2 2" xfId="16564"/>
    <cellStyle name="40% - Accent6 2 7 4 3" xfId="10776"/>
    <cellStyle name="40% - Accent6 2 7 4 3 2" xfId="19054"/>
    <cellStyle name="40% - Accent6 2 7 4 4" xfId="5246"/>
    <cellStyle name="40% - Accent6 2 7 4 5" xfId="13572"/>
    <cellStyle name="40% - Accent6 2 7 5" xfId="5247"/>
    <cellStyle name="40% - Accent6 2 7 5 2" xfId="13573"/>
    <cellStyle name="40% - Accent6 2 7 6" xfId="5738"/>
    <cellStyle name="40% - Accent6 2 7 6 2" xfId="14024"/>
    <cellStyle name="40% - Accent6 2 7 7" xfId="8278"/>
    <cellStyle name="40% - Accent6 2 7 7 2" xfId="16560"/>
    <cellStyle name="40% - Accent6 2 7 8" xfId="10772"/>
    <cellStyle name="40% - Accent6 2 7 8 2" xfId="19050"/>
    <cellStyle name="40% - Accent6 2 7 9" xfId="5242"/>
    <cellStyle name="40% - Accent6 2 8" xfId="2202"/>
    <cellStyle name="40% - Accent6 2 8 2" xfId="2203"/>
    <cellStyle name="40% - Accent6 2 8 2 2" xfId="8284"/>
    <cellStyle name="40% - Accent6 2 8 2 2 2" xfId="16566"/>
    <cellStyle name="40% - Accent6 2 8 2 3" xfId="10778"/>
    <cellStyle name="40% - Accent6 2 8 2 3 2" xfId="19056"/>
    <cellStyle name="40% - Accent6 2 8 2 4" xfId="5249"/>
    <cellStyle name="40% - Accent6 2 8 2 5" xfId="13575"/>
    <cellStyle name="40% - Accent6 2 8 3" xfId="8283"/>
    <cellStyle name="40% - Accent6 2 8 3 2" xfId="16565"/>
    <cellStyle name="40% - Accent6 2 8 4" xfId="10777"/>
    <cellStyle name="40% - Accent6 2 8 4 2" xfId="19055"/>
    <cellStyle name="40% - Accent6 2 8 5" xfId="5248"/>
    <cellStyle name="40% - Accent6 2 8 6" xfId="13574"/>
    <cellStyle name="40% - Accent6 2 9" xfId="2204"/>
    <cellStyle name="40% - Accent6 2 9 2" xfId="2205"/>
    <cellStyle name="40% - Accent6 2 9 2 2" xfId="8286"/>
    <cellStyle name="40% - Accent6 2 9 2 2 2" xfId="16568"/>
    <cellStyle name="40% - Accent6 2 9 2 3" xfId="10780"/>
    <cellStyle name="40% - Accent6 2 9 2 3 2" xfId="19058"/>
    <cellStyle name="40% - Accent6 2 9 2 4" xfId="5251"/>
    <cellStyle name="40% - Accent6 2 9 2 5" xfId="13577"/>
    <cellStyle name="40% - Accent6 2 9 3" xfId="8285"/>
    <cellStyle name="40% - Accent6 2 9 3 2" xfId="16567"/>
    <cellStyle name="40% - Accent6 2 9 4" xfId="10779"/>
    <cellStyle name="40% - Accent6 2 9 4 2" xfId="19057"/>
    <cellStyle name="40% - Accent6 2 9 5" xfId="5250"/>
    <cellStyle name="40% - Accent6 2 9 6" xfId="13576"/>
    <cellStyle name="40% - Accent6 20" xfId="5129"/>
    <cellStyle name="40% - Accent6 21" xfId="13455"/>
    <cellStyle name="40% - Accent6 22" xfId="19358"/>
    <cellStyle name="40% - Accent6 3" xfId="2206"/>
    <cellStyle name="40% - Accent6 3 10" xfId="5665"/>
    <cellStyle name="40% - Accent6 3 10 2" xfId="13952"/>
    <cellStyle name="40% - Accent6 3 11" xfId="8287"/>
    <cellStyle name="40% - Accent6 3 11 2" xfId="16569"/>
    <cellStyle name="40% - Accent6 3 12" xfId="10781"/>
    <cellStyle name="40% - Accent6 3 12 2" xfId="19059"/>
    <cellStyle name="40% - Accent6 3 13" xfId="5252"/>
    <cellStyle name="40% - Accent6 3 14" xfId="13578"/>
    <cellStyle name="40% - Accent6 3 2" xfId="2207"/>
    <cellStyle name="40% - Accent6 3 2 10" xfId="5253"/>
    <cellStyle name="40% - Accent6 3 2 11" xfId="13579"/>
    <cellStyle name="40% - Accent6 3 2 2" xfId="2208"/>
    <cellStyle name="40% - Accent6 3 2 2 2" xfId="2209"/>
    <cellStyle name="40% - Accent6 3 2 2 2 2" xfId="8290"/>
    <cellStyle name="40% - Accent6 3 2 2 2 2 2" xfId="16572"/>
    <cellStyle name="40% - Accent6 3 2 2 2 3" xfId="10784"/>
    <cellStyle name="40% - Accent6 3 2 2 2 3 2" xfId="19062"/>
    <cellStyle name="40% - Accent6 3 2 2 2 4" xfId="5255"/>
    <cellStyle name="40% - Accent6 3 2 2 2 5" xfId="13581"/>
    <cellStyle name="40% - Accent6 3 2 2 3" xfId="8289"/>
    <cellStyle name="40% - Accent6 3 2 2 3 2" xfId="16571"/>
    <cellStyle name="40% - Accent6 3 2 2 4" xfId="10783"/>
    <cellStyle name="40% - Accent6 3 2 2 4 2" xfId="19061"/>
    <cellStyle name="40% - Accent6 3 2 2 5" xfId="5254"/>
    <cellStyle name="40% - Accent6 3 2 2 6" xfId="13580"/>
    <cellStyle name="40% - Accent6 3 2 3" xfId="2210"/>
    <cellStyle name="40% - Accent6 3 2 3 2" xfId="2211"/>
    <cellStyle name="40% - Accent6 3 2 3 2 2" xfId="8292"/>
    <cellStyle name="40% - Accent6 3 2 3 2 2 2" xfId="16574"/>
    <cellStyle name="40% - Accent6 3 2 3 2 3" xfId="10786"/>
    <cellStyle name="40% - Accent6 3 2 3 2 3 2" xfId="19064"/>
    <cellStyle name="40% - Accent6 3 2 3 2 4" xfId="5257"/>
    <cellStyle name="40% - Accent6 3 2 3 2 5" xfId="13583"/>
    <cellStyle name="40% - Accent6 3 2 3 3" xfId="8291"/>
    <cellStyle name="40% - Accent6 3 2 3 3 2" xfId="16573"/>
    <cellStyle name="40% - Accent6 3 2 3 4" xfId="10785"/>
    <cellStyle name="40% - Accent6 3 2 3 4 2" xfId="19063"/>
    <cellStyle name="40% - Accent6 3 2 3 5" xfId="5256"/>
    <cellStyle name="40% - Accent6 3 2 3 6" xfId="13582"/>
    <cellStyle name="40% - Accent6 3 2 4" xfId="2212"/>
    <cellStyle name="40% - Accent6 3 2 4 2" xfId="8293"/>
    <cellStyle name="40% - Accent6 3 2 4 2 2" xfId="16575"/>
    <cellStyle name="40% - Accent6 3 2 4 3" xfId="10787"/>
    <cellStyle name="40% - Accent6 3 2 4 3 2" xfId="19065"/>
    <cellStyle name="40% - Accent6 3 2 4 4" xfId="5258"/>
    <cellStyle name="40% - Accent6 3 2 4 5" xfId="13584"/>
    <cellStyle name="40% - Accent6 3 2 5" xfId="2213"/>
    <cellStyle name="40% - Accent6 3 2 5 2" xfId="8294"/>
    <cellStyle name="40% - Accent6 3 2 5 2 2" xfId="16576"/>
    <cellStyle name="40% - Accent6 3 2 5 3" xfId="10788"/>
    <cellStyle name="40% - Accent6 3 2 5 3 2" xfId="19066"/>
    <cellStyle name="40% - Accent6 3 2 5 4" xfId="5259"/>
    <cellStyle name="40% - Accent6 3 2 5 5" xfId="13585"/>
    <cellStyle name="40% - Accent6 3 2 6" xfId="5260"/>
    <cellStyle name="40% - Accent6 3 2 6 2" xfId="13586"/>
    <cellStyle name="40% - Accent6 3 2 7" xfId="5868"/>
    <cellStyle name="40% - Accent6 3 2 7 2" xfId="14150"/>
    <cellStyle name="40% - Accent6 3 2 8" xfId="8288"/>
    <cellStyle name="40% - Accent6 3 2 8 2" xfId="16570"/>
    <cellStyle name="40% - Accent6 3 2 9" xfId="10782"/>
    <cellStyle name="40% - Accent6 3 2 9 2" xfId="19060"/>
    <cellStyle name="40% - Accent6 3 3" xfId="2214"/>
    <cellStyle name="40% - Accent6 3 3 10" xfId="5261"/>
    <cellStyle name="40% - Accent6 3 3 11" xfId="13587"/>
    <cellStyle name="40% - Accent6 3 3 2" xfId="2215"/>
    <cellStyle name="40% - Accent6 3 3 2 2" xfId="2216"/>
    <cellStyle name="40% - Accent6 3 3 2 2 2" xfId="8297"/>
    <cellStyle name="40% - Accent6 3 3 2 2 2 2" xfId="16579"/>
    <cellStyle name="40% - Accent6 3 3 2 2 3" xfId="10791"/>
    <cellStyle name="40% - Accent6 3 3 2 2 3 2" xfId="19069"/>
    <cellStyle name="40% - Accent6 3 3 2 2 4" xfId="5263"/>
    <cellStyle name="40% - Accent6 3 3 2 2 5" xfId="13589"/>
    <cellStyle name="40% - Accent6 3 3 2 3" xfId="8296"/>
    <cellStyle name="40% - Accent6 3 3 2 3 2" xfId="16578"/>
    <cellStyle name="40% - Accent6 3 3 2 4" xfId="10790"/>
    <cellStyle name="40% - Accent6 3 3 2 4 2" xfId="19068"/>
    <cellStyle name="40% - Accent6 3 3 2 5" xfId="5262"/>
    <cellStyle name="40% - Accent6 3 3 2 6" xfId="13588"/>
    <cellStyle name="40% - Accent6 3 3 3" xfId="2217"/>
    <cellStyle name="40% - Accent6 3 3 3 2" xfId="2218"/>
    <cellStyle name="40% - Accent6 3 3 3 2 2" xfId="8299"/>
    <cellStyle name="40% - Accent6 3 3 3 2 2 2" xfId="16581"/>
    <cellStyle name="40% - Accent6 3 3 3 2 3" xfId="10793"/>
    <cellStyle name="40% - Accent6 3 3 3 2 3 2" xfId="19071"/>
    <cellStyle name="40% - Accent6 3 3 3 2 4" xfId="5265"/>
    <cellStyle name="40% - Accent6 3 3 3 2 5" xfId="13591"/>
    <cellStyle name="40% - Accent6 3 3 3 3" xfId="8298"/>
    <cellStyle name="40% - Accent6 3 3 3 3 2" xfId="16580"/>
    <cellStyle name="40% - Accent6 3 3 3 4" xfId="10792"/>
    <cellStyle name="40% - Accent6 3 3 3 4 2" xfId="19070"/>
    <cellStyle name="40% - Accent6 3 3 3 5" xfId="5264"/>
    <cellStyle name="40% - Accent6 3 3 3 6" xfId="13590"/>
    <cellStyle name="40% - Accent6 3 3 4" xfId="2219"/>
    <cellStyle name="40% - Accent6 3 3 4 2" xfId="8300"/>
    <cellStyle name="40% - Accent6 3 3 4 2 2" xfId="16582"/>
    <cellStyle name="40% - Accent6 3 3 4 3" xfId="10794"/>
    <cellStyle name="40% - Accent6 3 3 4 3 2" xfId="19072"/>
    <cellStyle name="40% - Accent6 3 3 4 4" xfId="5266"/>
    <cellStyle name="40% - Accent6 3 3 4 5" xfId="13592"/>
    <cellStyle name="40% - Accent6 3 3 5" xfId="2220"/>
    <cellStyle name="40% - Accent6 3 3 5 2" xfId="8301"/>
    <cellStyle name="40% - Accent6 3 3 5 2 2" xfId="16583"/>
    <cellStyle name="40% - Accent6 3 3 5 3" xfId="10795"/>
    <cellStyle name="40% - Accent6 3 3 5 3 2" xfId="19073"/>
    <cellStyle name="40% - Accent6 3 3 5 4" xfId="5267"/>
    <cellStyle name="40% - Accent6 3 3 5 5" xfId="13593"/>
    <cellStyle name="40% - Accent6 3 3 6" xfId="5268"/>
    <cellStyle name="40% - Accent6 3 3 6 2" xfId="13594"/>
    <cellStyle name="40% - Accent6 3 3 7" xfId="5966"/>
    <cellStyle name="40% - Accent6 3 3 7 2" xfId="14248"/>
    <cellStyle name="40% - Accent6 3 3 8" xfId="8295"/>
    <cellStyle name="40% - Accent6 3 3 8 2" xfId="16577"/>
    <cellStyle name="40% - Accent6 3 3 9" xfId="10789"/>
    <cellStyle name="40% - Accent6 3 3 9 2" xfId="19067"/>
    <cellStyle name="40% - Accent6 3 4" xfId="2221"/>
    <cellStyle name="40% - Accent6 3 4 10" xfId="13595"/>
    <cellStyle name="40% - Accent6 3 4 2" xfId="2222"/>
    <cellStyle name="40% - Accent6 3 4 2 2" xfId="2223"/>
    <cellStyle name="40% - Accent6 3 4 2 2 2" xfId="8304"/>
    <cellStyle name="40% - Accent6 3 4 2 2 2 2" xfId="16586"/>
    <cellStyle name="40% - Accent6 3 4 2 2 3" xfId="10798"/>
    <cellStyle name="40% - Accent6 3 4 2 2 3 2" xfId="19076"/>
    <cellStyle name="40% - Accent6 3 4 2 2 4" xfId="5271"/>
    <cellStyle name="40% - Accent6 3 4 2 2 5" xfId="13597"/>
    <cellStyle name="40% - Accent6 3 4 2 3" xfId="8303"/>
    <cellStyle name="40% - Accent6 3 4 2 3 2" xfId="16585"/>
    <cellStyle name="40% - Accent6 3 4 2 4" xfId="10797"/>
    <cellStyle name="40% - Accent6 3 4 2 4 2" xfId="19075"/>
    <cellStyle name="40% - Accent6 3 4 2 5" xfId="5270"/>
    <cellStyle name="40% - Accent6 3 4 2 6" xfId="13596"/>
    <cellStyle name="40% - Accent6 3 4 3" xfId="2224"/>
    <cellStyle name="40% - Accent6 3 4 3 2" xfId="8305"/>
    <cellStyle name="40% - Accent6 3 4 3 2 2" xfId="16587"/>
    <cellStyle name="40% - Accent6 3 4 3 3" xfId="10799"/>
    <cellStyle name="40% - Accent6 3 4 3 3 2" xfId="19077"/>
    <cellStyle name="40% - Accent6 3 4 3 4" xfId="5272"/>
    <cellStyle name="40% - Accent6 3 4 3 5" xfId="13598"/>
    <cellStyle name="40% - Accent6 3 4 4" xfId="2225"/>
    <cellStyle name="40% - Accent6 3 4 4 2" xfId="8306"/>
    <cellStyle name="40% - Accent6 3 4 4 2 2" xfId="16588"/>
    <cellStyle name="40% - Accent6 3 4 4 3" xfId="10800"/>
    <cellStyle name="40% - Accent6 3 4 4 3 2" xfId="19078"/>
    <cellStyle name="40% - Accent6 3 4 4 4" xfId="5273"/>
    <cellStyle name="40% - Accent6 3 4 4 5" xfId="13599"/>
    <cellStyle name="40% - Accent6 3 4 5" xfId="5274"/>
    <cellStyle name="40% - Accent6 3 4 5 2" xfId="13600"/>
    <cellStyle name="40% - Accent6 3 4 6" xfId="5782"/>
    <cellStyle name="40% - Accent6 3 4 6 2" xfId="14064"/>
    <cellStyle name="40% - Accent6 3 4 7" xfId="8302"/>
    <cellStyle name="40% - Accent6 3 4 7 2" xfId="16584"/>
    <cellStyle name="40% - Accent6 3 4 8" xfId="10796"/>
    <cellStyle name="40% - Accent6 3 4 8 2" xfId="19074"/>
    <cellStyle name="40% - Accent6 3 4 9" xfId="5269"/>
    <cellStyle name="40% - Accent6 3 5" xfId="2226"/>
    <cellStyle name="40% - Accent6 3 5 2" xfId="2227"/>
    <cellStyle name="40% - Accent6 3 5 2 2" xfId="8308"/>
    <cellStyle name="40% - Accent6 3 5 2 2 2" xfId="16590"/>
    <cellStyle name="40% - Accent6 3 5 2 3" xfId="10802"/>
    <cellStyle name="40% - Accent6 3 5 2 3 2" xfId="19080"/>
    <cellStyle name="40% - Accent6 3 5 2 4" xfId="5276"/>
    <cellStyle name="40% - Accent6 3 5 2 5" xfId="13602"/>
    <cellStyle name="40% - Accent6 3 5 3" xfId="8307"/>
    <cellStyle name="40% - Accent6 3 5 3 2" xfId="16589"/>
    <cellStyle name="40% - Accent6 3 5 4" xfId="10801"/>
    <cellStyle name="40% - Accent6 3 5 4 2" xfId="19079"/>
    <cellStyle name="40% - Accent6 3 5 5" xfId="5275"/>
    <cellStyle name="40% - Accent6 3 5 6" xfId="13601"/>
    <cellStyle name="40% - Accent6 3 6" xfId="2228"/>
    <cellStyle name="40% - Accent6 3 6 2" xfId="2229"/>
    <cellStyle name="40% - Accent6 3 6 2 2" xfId="8310"/>
    <cellStyle name="40% - Accent6 3 6 2 2 2" xfId="16592"/>
    <cellStyle name="40% - Accent6 3 6 2 3" xfId="10804"/>
    <cellStyle name="40% - Accent6 3 6 2 3 2" xfId="19082"/>
    <cellStyle name="40% - Accent6 3 6 2 4" xfId="5278"/>
    <cellStyle name="40% - Accent6 3 6 2 5" xfId="13604"/>
    <cellStyle name="40% - Accent6 3 6 3" xfId="8309"/>
    <cellStyle name="40% - Accent6 3 6 3 2" xfId="16591"/>
    <cellStyle name="40% - Accent6 3 6 4" xfId="10803"/>
    <cellStyle name="40% - Accent6 3 6 4 2" xfId="19081"/>
    <cellStyle name="40% - Accent6 3 6 5" xfId="5277"/>
    <cellStyle name="40% - Accent6 3 6 6" xfId="13603"/>
    <cellStyle name="40% - Accent6 3 7" xfId="2230"/>
    <cellStyle name="40% - Accent6 3 7 2" xfId="8311"/>
    <cellStyle name="40% - Accent6 3 7 2 2" xfId="16593"/>
    <cellStyle name="40% - Accent6 3 7 3" xfId="10805"/>
    <cellStyle name="40% - Accent6 3 7 3 2" xfId="19083"/>
    <cellStyle name="40% - Accent6 3 7 4" xfId="5279"/>
    <cellStyle name="40% - Accent6 3 7 5" xfId="13605"/>
    <cellStyle name="40% - Accent6 3 8" xfId="2231"/>
    <cellStyle name="40% - Accent6 3 8 2" xfId="8312"/>
    <cellStyle name="40% - Accent6 3 8 2 2" xfId="16594"/>
    <cellStyle name="40% - Accent6 3 8 3" xfId="10806"/>
    <cellStyle name="40% - Accent6 3 8 3 2" xfId="19084"/>
    <cellStyle name="40% - Accent6 3 8 4" xfId="5280"/>
    <cellStyle name="40% - Accent6 3 8 5" xfId="13606"/>
    <cellStyle name="40% - Accent6 3 9" xfId="5281"/>
    <cellStyle name="40% - Accent6 3 9 2" xfId="13607"/>
    <cellStyle name="40% - Accent6 4" xfId="2232"/>
    <cellStyle name="40% - Accent6 4 10" xfId="5694"/>
    <cellStyle name="40% - Accent6 4 10 2" xfId="13980"/>
    <cellStyle name="40% - Accent6 4 11" xfId="8313"/>
    <cellStyle name="40% - Accent6 4 11 2" xfId="16595"/>
    <cellStyle name="40% - Accent6 4 12" xfId="10807"/>
    <cellStyle name="40% - Accent6 4 12 2" xfId="19085"/>
    <cellStyle name="40% - Accent6 4 13" xfId="5282"/>
    <cellStyle name="40% - Accent6 4 14" xfId="13608"/>
    <cellStyle name="40% - Accent6 4 2" xfId="2233"/>
    <cellStyle name="40% - Accent6 4 2 10" xfId="5283"/>
    <cellStyle name="40% - Accent6 4 2 11" xfId="13609"/>
    <cellStyle name="40% - Accent6 4 2 2" xfId="2234"/>
    <cellStyle name="40% - Accent6 4 2 2 2" xfId="2235"/>
    <cellStyle name="40% - Accent6 4 2 2 2 2" xfId="8316"/>
    <cellStyle name="40% - Accent6 4 2 2 2 2 2" xfId="16598"/>
    <cellStyle name="40% - Accent6 4 2 2 2 3" xfId="10810"/>
    <cellStyle name="40% - Accent6 4 2 2 2 3 2" xfId="19088"/>
    <cellStyle name="40% - Accent6 4 2 2 2 4" xfId="5285"/>
    <cellStyle name="40% - Accent6 4 2 2 2 5" xfId="13611"/>
    <cellStyle name="40% - Accent6 4 2 2 3" xfId="8315"/>
    <cellStyle name="40% - Accent6 4 2 2 3 2" xfId="16597"/>
    <cellStyle name="40% - Accent6 4 2 2 4" xfId="10809"/>
    <cellStyle name="40% - Accent6 4 2 2 4 2" xfId="19087"/>
    <cellStyle name="40% - Accent6 4 2 2 5" xfId="5284"/>
    <cellStyle name="40% - Accent6 4 2 2 6" xfId="13610"/>
    <cellStyle name="40% - Accent6 4 2 3" xfId="2236"/>
    <cellStyle name="40% - Accent6 4 2 3 2" xfId="2237"/>
    <cellStyle name="40% - Accent6 4 2 3 2 2" xfId="8318"/>
    <cellStyle name="40% - Accent6 4 2 3 2 2 2" xfId="16600"/>
    <cellStyle name="40% - Accent6 4 2 3 2 3" xfId="10812"/>
    <cellStyle name="40% - Accent6 4 2 3 2 3 2" xfId="19090"/>
    <cellStyle name="40% - Accent6 4 2 3 2 4" xfId="5287"/>
    <cellStyle name="40% - Accent6 4 2 3 2 5" xfId="13613"/>
    <cellStyle name="40% - Accent6 4 2 3 3" xfId="8317"/>
    <cellStyle name="40% - Accent6 4 2 3 3 2" xfId="16599"/>
    <cellStyle name="40% - Accent6 4 2 3 4" xfId="10811"/>
    <cellStyle name="40% - Accent6 4 2 3 4 2" xfId="19089"/>
    <cellStyle name="40% - Accent6 4 2 3 5" xfId="5286"/>
    <cellStyle name="40% - Accent6 4 2 3 6" xfId="13612"/>
    <cellStyle name="40% - Accent6 4 2 4" xfId="2238"/>
    <cellStyle name="40% - Accent6 4 2 4 2" xfId="8319"/>
    <cellStyle name="40% - Accent6 4 2 4 2 2" xfId="16601"/>
    <cellStyle name="40% - Accent6 4 2 4 3" xfId="10813"/>
    <cellStyle name="40% - Accent6 4 2 4 3 2" xfId="19091"/>
    <cellStyle name="40% - Accent6 4 2 4 4" xfId="5288"/>
    <cellStyle name="40% - Accent6 4 2 4 5" xfId="13614"/>
    <cellStyle name="40% - Accent6 4 2 5" xfId="2239"/>
    <cellStyle name="40% - Accent6 4 2 5 2" xfId="8320"/>
    <cellStyle name="40% - Accent6 4 2 5 2 2" xfId="16602"/>
    <cellStyle name="40% - Accent6 4 2 5 3" xfId="10814"/>
    <cellStyle name="40% - Accent6 4 2 5 3 2" xfId="19092"/>
    <cellStyle name="40% - Accent6 4 2 5 4" xfId="5289"/>
    <cellStyle name="40% - Accent6 4 2 5 5" xfId="13615"/>
    <cellStyle name="40% - Accent6 4 2 6" xfId="5290"/>
    <cellStyle name="40% - Accent6 4 2 6 2" xfId="13616"/>
    <cellStyle name="40% - Accent6 4 2 7" xfId="5896"/>
    <cellStyle name="40% - Accent6 4 2 7 2" xfId="14178"/>
    <cellStyle name="40% - Accent6 4 2 8" xfId="8314"/>
    <cellStyle name="40% - Accent6 4 2 8 2" xfId="16596"/>
    <cellStyle name="40% - Accent6 4 2 9" xfId="10808"/>
    <cellStyle name="40% - Accent6 4 2 9 2" xfId="19086"/>
    <cellStyle name="40% - Accent6 4 3" xfId="2240"/>
    <cellStyle name="40% - Accent6 4 3 10" xfId="5291"/>
    <cellStyle name="40% - Accent6 4 3 11" xfId="13617"/>
    <cellStyle name="40% - Accent6 4 3 2" xfId="2241"/>
    <cellStyle name="40% - Accent6 4 3 2 2" xfId="2242"/>
    <cellStyle name="40% - Accent6 4 3 2 2 2" xfId="8323"/>
    <cellStyle name="40% - Accent6 4 3 2 2 2 2" xfId="16605"/>
    <cellStyle name="40% - Accent6 4 3 2 2 3" xfId="10817"/>
    <cellStyle name="40% - Accent6 4 3 2 2 3 2" xfId="19095"/>
    <cellStyle name="40% - Accent6 4 3 2 2 4" xfId="5293"/>
    <cellStyle name="40% - Accent6 4 3 2 2 5" xfId="13619"/>
    <cellStyle name="40% - Accent6 4 3 2 3" xfId="8322"/>
    <cellStyle name="40% - Accent6 4 3 2 3 2" xfId="16604"/>
    <cellStyle name="40% - Accent6 4 3 2 4" xfId="10816"/>
    <cellStyle name="40% - Accent6 4 3 2 4 2" xfId="19094"/>
    <cellStyle name="40% - Accent6 4 3 2 5" xfId="5292"/>
    <cellStyle name="40% - Accent6 4 3 2 6" xfId="13618"/>
    <cellStyle name="40% - Accent6 4 3 3" xfId="2243"/>
    <cellStyle name="40% - Accent6 4 3 3 2" xfId="2244"/>
    <cellStyle name="40% - Accent6 4 3 3 2 2" xfId="8325"/>
    <cellStyle name="40% - Accent6 4 3 3 2 2 2" xfId="16607"/>
    <cellStyle name="40% - Accent6 4 3 3 2 3" xfId="10819"/>
    <cellStyle name="40% - Accent6 4 3 3 2 3 2" xfId="19097"/>
    <cellStyle name="40% - Accent6 4 3 3 2 4" xfId="5295"/>
    <cellStyle name="40% - Accent6 4 3 3 2 5" xfId="13621"/>
    <cellStyle name="40% - Accent6 4 3 3 3" xfId="8324"/>
    <cellStyle name="40% - Accent6 4 3 3 3 2" xfId="16606"/>
    <cellStyle name="40% - Accent6 4 3 3 4" xfId="10818"/>
    <cellStyle name="40% - Accent6 4 3 3 4 2" xfId="19096"/>
    <cellStyle name="40% - Accent6 4 3 3 5" xfId="5294"/>
    <cellStyle name="40% - Accent6 4 3 3 6" xfId="13620"/>
    <cellStyle name="40% - Accent6 4 3 4" xfId="2245"/>
    <cellStyle name="40% - Accent6 4 3 4 2" xfId="8326"/>
    <cellStyle name="40% - Accent6 4 3 4 2 2" xfId="16608"/>
    <cellStyle name="40% - Accent6 4 3 4 3" xfId="10820"/>
    <cellStyle name="40% - Accent6 4 3 4 3 2" xfId="19098"/>
    <cellStyle name="40% - Accent6 4 3 4 4" xfId="5296"/>
    <cellStyle name="40% - Accent6 4 3 4 5" xfId="13622"/>
    <cellStyle name="40% - Accent6 4 3 5" xfId="2246"/>
    <cellStyle name="40% - Accent6 4 3 5 2" xfId="8327"/>
    <cellStyle name="40% - Accent6 4 3 5 2 2" xfId="16609"/>
    <cellStyle name="40% - Accent6 4 3 5 3" xfId="10821"/>
    <cellStyle name="40% - Accent6 4 3 5 3 2" xfId="19099"/>
    <cellStyle name="40% - Accent6 4 3 5 4" xfId="5297"/>
    <cellStyle name="40% - Accent6 4 3 5 5" xfId="13623"/>
    <cellStyle name="40% - Accent6 4 3 6" xfId="5298"/>
    <cellStyle name="40% - Accent6 4 3 6 2" xfId="13624"/>
    <cellStyle name="40% - Accent6 4 3 7" xfId="5994"/>
    <cellStyle name="40% - Accent6 4 3 7 2" xfId="14276"/>
    <cellStyle name="40% - Accent6 4 3 8" xfId="8321"/>
    <cellStyle name="40% - Accent6 4 3 8 2" xfId="16603"/>
    <cellStyle name="40% - Accent6 4 3 9" xfId="10815"/>
    <cellStyle name="40% - Accent6 4 3 9 2" xfId="19093"/>
    <cellStyle name="40% - Accent6 4 4" xfId="2247"/>
    <cellStyle name="40% - Accent6 4 4 10" xfId="13625"/>
    <cellStyle name="40% - Accent6 4 4 2" xfId="2248"/>
    <cellStyle name="40% - Accent6 4 4 2 2" xfId="2249"/>
    <cellStyle name="40% - Accent6 4 4 2 2 2" xfId="8330"/>
    <cellStyle name="40% - Accent6 4 4 2 2 2 2" xfId="16612"/>
    <cellStyle name="40% - Accent6 4 4 2 2 3" xfId="10824"/>
    <cellStyle name="40% - Accent6 4 4 2 2 3 2" xfId="19102"/>
    <cellStyle name="40% - Accent6 4 4 2 2 4" xfId="5301"/>
    <cellStyle name="40% - Accent6 4 4 2 2 5" xfId="13627"/>
    <cellStyle name="40% - Accent6 4 4 2 3" xfId="8329"/>
    <cellStyle name="40% - Accent6 4 4 2 3 2" xfId="16611"/>
    <cellStyle name="40% - Accent6 4 4 2 4" xfId="10823"/>
    <cellStyle name="40% - Accent6 4 4 2 4 2" xfId="19101"/>
    <cellStyle name="40% - Accent6 4 4 2 5" xfId="5300"/>
    <cellStyle name="40% - Accent6 4 4 2 6" xfId="13626"/>
    <cellStyle name="40% - Accent6 4 4 3" xfId="2250"/>
    <cellStyle name="40% - Accent6 4 4 3 2" xfId="8331"/>
    <cellStyle name="40% - Accent6 4 4 3 2 2" xfId="16613"/>
    <cellStyle name="40% - Accent6 4 4 3 3" xfId="10825"/>
    <cellStyle name="40% - Accent6 4 4 3 3 2" xfId="19103"/>
    <cellStyle name="40% - Accent6 4 4 3 4" xfId="5302"/>
    <cellStyle name="40% - Accent6 4 4 3 5" xfId="13628"/>
    <cellStyle name="40% - Accent6 4 4 4" xfId="2251"/>
    <cellStyle name="40% - Accent6 4 4 4 2" xfId="8332"/>
    <cellStyle name="40% - Accent6 4 4 4 2 2" xfId="16614"/>
    <cellStyle name="40% - Accent6 4 4 4 3" xfId="10826"/>
    <cellStyle name="40% - Accent6 4 4 4 3 2" xfId="19104"/>
    <cellStyle name="40% - Accent6 4 4 4 4" xfId="5303"/>
    <cellStyle name="40% - Accent6 4 4 4 5" xfId="13629"/>
    <cellStyle name="40% - Accent6 4 4 5" xfId="5304"/>
    <cellStyle name="40% - Accent6 4 4 5 2" xfId="13630"/>
    <cellStyle name="40% - Accent6 4 4 6" xfId="5810"/>
    <cellStyle name="40% - Accent6 4 4 6 2" xfId="14092"/>
    <cellStyle name="40% - Accent6 4 4 7" xfId="8328"/>
    <cellStyle name="40% - Accent6 4 4 7 2" xfId="16610"/>
    <cellStyle name="40% - Accent6 4 4 8" xfId="10822"/>
    <cellStyle name="40% - Accent6 4 4 8 2" xfId="19100"/>
    <cellStyle name="40% - Accent6 4 4 9" xfId="5299"/>
    <cellStyle name="40% - Accent6 4 5" xfId="2252"/>
    <cellStyle name="40% - Accent6 4 5 2" xfId="2253"/>
    <cellStyle name="40% - Accent6 4 5 2 2" xfId="8334"/>
    <cellStyle name="40% - Accent6 4 5 2 2 2" xfId="16616"/>
    <cellStyle name="40% - Accent6 4 5 2 3" xfId="10828"/>
    <cellStyle name="40% - Accent6 4 5 2 3 2" xfId="19106"/>
    <cellStyle name="40% - Accent6 4 5 2 4" xfId="5306"/>
    <cellStyle name="40% - Accent6 4 5 2 5" xfId="13632"/>
    <cellStyle name="40% - Accent6 4 5 3" xfId="8333"/>
    <cellStyle name="40% - Accent6 4 5 3 2" xfId="16615"/>
    <cellStyle name="40% - Accent6 4 5 4" xfId="10827"/>
    <cellStyle name="40% - Accent6 4 5 4 2" xfId="19105"/>
    <cellStyle name="40% - Accent6 4 5 5" xfId="5305"/>
    <cellStyle name="40% - Accent6 4 5 6" xfId="13631"/>
    <cellStyle name="40% - Accent6 4 6" xfId="2254"/>
    <cellStyle name="40% - Accent6 4 6 2" xfId="2255"/>
    <cellStyle name="40% - Accent6 4 6 2 2" xfId="8336"/>
    <cellStyle name="40% - Accent6 4 6 2 2 2" xfId="16618"/>
    <cellStyle name="40% - Accent6 4 6 2 3" xfId="10830"/>
    <cellStyle name="40% - Accent6 4 6 2 3 2" xfId="19108"/>
    <cellStyle name="40% - Accent6 4 6 2 4" xfId="5308"/>
    <cellStyle name="40% - Accent6 4 6 2 5" xfId="13634"/>
    <cellStyle name="40% - Accent6 4 6 3" xfId="8335"/>
    <cellStyle name="40% - Accent6 4 6 3 2" xfId="16617"/>
    <cellStyle name="40% - Accent6 4 6 4" xfId="10829"/>
    <cellStyle name="40% - Accent6 4 6 4 2" xfId="19107"/>
    <cellStyle name="40% - Accent6 4 6 5" xfId="5307"/>
    <cellStyle name="40% - Accent6 4 6 6" xfId="13633"/>
    <cellStyle name="40% - Accent6 4 7" xfId="2256"/>
    <cellStyle name="40% - Accent6 4 7 2" xfId="8337"/>
    <cellStyle name="40% - Accent6 4 7 2 2" xfId="16619"/>
    <cellStyle name="40% - Accent6 4 7 3" xfId="10831"/>
    <cellStyle name="40% - Accent6 4 7 3 2" xfId="19109"/>
    <cellStyle name="40% - Accent6 4 7 4" xfId="5309"/>
    <cellStyle name="40% - Accent6 4 7 5" xfId="13635"/>
    <cellStyle name="40% - Accent6 4 8" xfId="2257"/>
    <cellStyle name="40% - Accent6 4 8 2" xfId="8338"/>
    <cellStyle name="40% - Accent6 4 8 2 2" xfId="16620"/>
    <cellStyle name="40% - Accent6 4 8 3" xfId="10832"/>
    <cellStyle name="40% - Accent6 4 8 3 2" xfId="19110"/>
    <cellStyle name="40% - Accent6 4 8 4" xfId="5310"/>
    <cellStyle name="40% - Accent6 4 8 5" xfId="13636"/>
    <cellStyle name="40% - Accent6 4 9" xfId="5311"/>
    <cellStyle name="40% - Accent6 4 9 2" xfId="13637"/>
    <cellStyle name="40% - Accent6 5" xfId="2258"/>
    <cellStyle name="40% - Accent6 5 10" xfId="5312"/>
    <cellStyle name="40% - Accent6 5 11" xfId="13638"/>
    <cellStyle name="40% - Accent6 5 2" xfId="2259"/>
    <cellStyle name="40% - Accent6 5 2 2" xfId="2260"/>
    <cellStyle name="40% - Accent6 5 2 2 2" xfId="8341"/>
    <cellStyle name="40% - Accent6 5 2 2 2 2" xfId="16623"/>
    <cellStyle name="40% - Accent6 5 2 2 3" xfId="10835"/>
    <cellStyle name="40% - Accent6 5 2 2 3 2" xfId="19113"/>
    <cellStyle name="40% - Accent6 5 2 2 4" xfId="5314"/>
    <cellStyle name="40% - Accent6 5 2 2 5" xfId="13640"/>
    <cellStyle name="40% - Accent6 5 2 3" xfId="8340"/>
    <cellStyle name="40% - Accent6 5 2 3 2" xfId="16622"/>
    <cellStyle name="40% - Accent6 5 2 4" xfId="10834"/>
    <cellStyle name="40% - Accent6 5 2 4 2" xfId="19112"/>
    <cellStyle name="40% - Accent6 5 2 5" xfId="5313"/>
    <cellStyle name="40% - Accent6 5 2 6" xfId="13639"/>
    <cellStyle name="40% - Accent6 5 3" xfId="2261"/>
    <cellStyle name="40% - Accent6 5 3 2" xfId="2262"/>
    <cellStyle name="40% - Accent6 5 3 2 2" xfId="8343"/>
    <cellStyle name="40% - Accent6 5 3 2 2 2" xfId="16625"/>
    <cellStyle name="40% - Accent6 5 3 2 3" xfId="10837"/>
    <cellStyle name="40% - Accent6 5 3 2 3 2" xfId="19115"/>
    <cellStyle name="40% - Accent6 5 3 2 4" xfId="5316"/>
    <cellStyle name="40% - Accent6 5 3 2 5" xfId="13642"/>
    <cellStyle name="40% - Accent6 5 3 3" xfId="8342"/>
    <cellStyle name="40% - Accent6 5 3 3 2" xfId="16624"/>
    <cellStyle name="40% - Accent6 5 3 4" xfId="10836"/>
    <cellStyle name="40% - Accent6 5 3 4 2" xfId="19114"/>
    <cellStyle name="40% - Accent6 5 3 5" xfId="5315"/>
    <cellStyle name="40% - Accent6 5 3 6" xfId="13641"/>
    <cellStyle name="40% - Accent6 5 4" xfId="2263"/>
    <cellStyle name="40% - Accent6 5 4 2" xfId="8344"/>
    <cellStyle name="40% - Accent6 5 4 2 2" xfId="16626"/>
    <cellStyle name="40% - Accent6 5 4 3" xfId="10838"/>
    <cellStyle name="40% - Accent6 5 4 3 2" xfId="19116"/>
    <cellStyle name="40% - Accent6 5 4 4" xfId="5317"/>
    <cellStyle name="40% - Accent6 5 4 5" xfId="13643"/>
    <cellStyle name="40% - Accent6 5 5" xfId="2264"/>
    <cellStyle name="40% - Accent6 5 5 2" xfId="8345"/>
    <cellStyle name="40% - Accent6 5 5 2 2" xfId="16627"/>
    <cellStyle name="40% - Accent6 5 5 3" xfId="10839"/>
    <cellStyle name="40% - Accent6 5 5 3 2" xfId="19117"/>
    <cellStyle name="40% - Accent6 5 5 4" xfId="5318"/>
    <cellStyle name="40% - Accent6 5 5 5" xfId="13644"/>
    <cellStyle name="40% - Accent6 5 6" xfId="5319"/>
    <cellStyle name="40% - Accent6 5 6 2" xfId="13645"/>
    <cellStyle name="40% - Accent6 5 7" xfId="5751"/>
    <cellStyle name="40% - Accent6 5 7 2" xfId="14036"/>
    <cellStyle name="40% - Accent6 5 8" xfId="8339"/>
    <cellStyle name="40% - Accent6 5 8 2" xfId="16621"/>
    <cellStyle name="40% - Accent6 5 9" xfId="10833"/>
    <cellStyle name="40% - Accent6 5 9 2" xfId="19111"/>
    <cellStyle name="40% - Accent6 6" xfId="2265"/>
    <cellStyle name="40% - Accent6 6 10" xfId="5320"/>
    <cellStyle name="40% - Accent6 6 11" xfId="13646"/>
    <cellStyle name="40% - Accent6 6 2" xfId="2266"/>
    <cellStyle name="40% - Accent6 6 2 2" xfId="2267"/>
    <cellStyle name="40% - Accent6 6 2 2 2" xfId="8348"/>
    <cellStyle name="40% - Accent6 6 2 2 2 2" xfId="16630"/>
    <cellStyle name="40% - Accent6 6 2 2 3" xfId="10842"/>
    <cellStyle name="40% - Accent6 6 2 2 3 2" xfId="19120"/>
    <cellStyle name="40% - Accent6 6 2 2 4" xfId="5322"/>
    <cellStyle name="40% - Accent6 6 2 2 5" xfId="13648"/>
    <cellStyle name="40% - Accent6 6 2 3" xfId="8347"/>
    <cellStyle name="40% - Accent6 6 2 3 2" xfId="16629"/>
    <cellStyle name="40% - Accent6 6 2 4" xfId="10841"/>
    <cellStyle name="40% - Accent6 6 2 4 2" xfId="19119"/>
    <cellStyle name="40% - Accent6 6 2 5" xfId="5321"/>
    <cellStyle name="40% - Accent6 6 2 6" xfId="13647"/>
    <cellStyle name="40% - Accent6 6 3" xfId="2268"/>
    <cellStyle name="40% - Accent6 6 3 2" xfId="2269"/>
    <cellStyle name="40% - Accent6 6 3 2 2" xfId="8350"/>
    <cellStyle name="40% - Accent6 6 3 2 2 2" xfId="16632"/>
    <cellStyle name="40% - Accent6 6 3 2 3" xfId="10844"/>
    <cellStyle name="40% - Accent6 6 3 2 3 2" xfId="19122"/>
    <cellStyle name="40% - Accent6 6 3 2 4" xfId="5324"/>
    <cellStyle name="40% - Accent6 6 3 2 5" xfId="13650"/>
    <cellStyle name="40% - Accent6 6 3 3" xfId="8349"/>
    <cellStyle name="40% - Accent6 6 3 3 2" xfId="16631"/>
    <cellStyle name="40% - Accent6 6 3 4" xfId="10843"/>
    <cellStyle name="40% - Accent6 6 3 4 2" xfId="19121"/>
    <cellStyle name="40% - Accent6 6 3 5" xfId="5323"/>
    <cellStyle name="40% - Accent6 6 3 6" xfId="13649"/>
    <cellStyle name="40% - Accent6 6 4" xfId="2270"/>
    <cellStyle name="40% - Accent6 6 4 2" xfId="8351"/>
    <cellStyle name="40% - Accent6 6 4 2 2" xfId="16633"/>
    <cellStyle name="40% - Accent6 6 4 3" xfId="10845"/>
    <cellStyle name="40% - Accent6 6 4 3 2" xfId="19123"/>
    <cellStyle name="40% - Accent6 6 4 4" xfId="5325"/>
    <cellStyle name="40% - Accent6 6 4 5" xfId="13651"/>
    <cellStyle name="40% - Accent6 6 5" xfId="2271"/>
    <cellStyle name="40% - Accent6 6 5 2" xfId="8352"/>
    <cellStyle name="40% - Accent6 6 5 2 2" xfId="16634"/>
    <cellStyle name="40% - Accent6 6 5 3" xfId="10846"/>
    <cellStyle name="40% - Accent6 6 5 3 2" xfId="19124"/>
    <cellStyle name="40% - Accent6 6 5 4" xfId="5326"/>
    <cellStyle name="40% - Accent6 6 5 5" xfId="13652"/>
    <cellStyle name="40% - Accent6 6 6" xfId="5327"/>
    <cellStyle name="40% - Accent6 6 6 2" xfId="13653"/>
    <cellStyle name="40% - Accent6 6 7" xfId="5840"/>
    <cellStyle name="40% - Accent6 6 7 2" xfId="14122"/>
    <cellStyle name="40% - Accent6 6 8" xfId="8346"/>
    <cellStyle name="40% - Accent6 6 8 2" xfId="16628"/>
    <cellStyle name="40% - Accent6 6 9" xfId="10840"/>
    <cellStyle name="40% - Accent6 6 9 2" xfId="19118"/>
    <cellStyle name="40% - Accent6 7" xfId="2272"/>
    <cellStyle name="40% - Accent6 7 10" xfId="5328"/>
    <cellStyle name="40% - Accent6 7 11" xfId="13654"/>
    <cellStyle name="40% - Accent6 7 2" xfId="2273"/>
    <cellStyle name="40% - Accent6 7 2 2" xfId="2274"/>
    <cellStyle name="40% - Accent6 7 2 2 2" xfId="8355"/>
    <cellStyle name="40% - Accent6 7 2 2 2 2" xfId="16637"/>
    <cellStyle name="40% - Accent6 7 2 2 3" xfId="10849"/>
    <cellStyle name="40% - Accent6 7 2 2 3 2" xfId="19127"/>
    <cellStyle name="40% - Accent6 7 2 2 4" xfId="5330"/>
    <cellStyle name="40% - Accent6 7 2 2 5" xfId="13656"/>
    <cellStyle name="40% - Accent6 7 2 3" xfId="8354"/>
    <cellStyle name="40% - Accent6 7 2 3 2" xfId="16636"/>
    <cellStyle name="40% - Accent6 7 2 4" xfId="10848"/>
    <cellStyle name="40% - Accent6 7 2 4 2" xfId="19126"/>
    <cellStyle name="40% - Accent6 7 2 5" xfId="5329"/>
    <cellStyle name="40% - Accent6 7 2 6" xfId="13655"/>
    <cellStyle name="40% - Accent6 7 3" xfId="2275"/>
    <cellStyle name="40% - Accent6 7 3 2" xfId="2276"/>
    <cellStyle name="40% - Accent6 7 3 2 2" xfId="8357"/>
    <cellStyle name="40% - Accent6 7 3 2 2 2" xfId="16639"/>
    <cellStyle name="40% - Accent6 7 3 2 3" xfId="10851"/>
    <cellStyle name="40% - Accent6 7 3 2 3 2" xfId="19129"/>
    <cellStyle name="40% - Accent6 7 3 2 4" xfId="5332"/>
    <cellStyle name="40% - Accent6 7 3 2 5" xfId="13658"/>
    <cellStyle name="40% - Accent6 7 3 3" xfId="8356"/>
    <cellStyle name="40% - Accent6 7 3 3 2" xfId="16638"/>
    <cellStyle name="40% - Accent6 7 3 4" xfId="10850"/>
    <cellStyle name="40% - Accent6 7 3 4 2" xfId="19128"/>
    <cellStyle name="40% - Accent6 7 3 5" xfId="5331"/>
    <cellStyle name="40% - Accent6 7 3 6" xfId="13657"/>
    <cellStyle name="40% - Accent6 7 4" xfId="2277"/>
    <cellStyle name="40% - Accent6 7 4 2" xfId="8358"/>
    <cellStyle name="40% - Accent6 7 4 2 2" xfId="16640"/>
    <cellStyle name="40% - Accent6 7 4 3" xfId="10852"/>
    <cellStyle name="40% - Accent6 7 4 3 2" xfId="19130"/>
    <cellStyle name="40% - Accent6 7 4 4" xfId="5333"/>
    <cellStyle name="40% - Accent6 7 4 5" xfId="13659"/>
    <cellStyle name="40% - Accent6 7 5" xfId="2278"/>
    <cellStyle name="40% - Accent6 7 5 2" xfId="8359"/>
    <cellStyle name="40% - Accent6 7 5 2 2" xfId="16641"/>
    <cellStyle name="40% - Accent6 7 5 3" xfId="10853"/>
    <cellStyle name="40% - Accent6 7 5 3 2" xfId="19131"/>
    <cellStyle name="40% - Accent6 7 5 4" xfId="5334"/>
    <cellStyle name="40% - Accent6 7 5 5" xfId="13660"/>
    <cellStyle name="40% - Accent6 7 6" xfId="5335"/>
    <cellStyle name="40% - Accent6 7 6 2" xfId="13661"/>
    <cellStyle name="40% - Accent6 7 7" xfId="5926"/>
    <cellStyle name="40% - Accent6 7 7 2" xfId="14208"/>
    <cellStyle name="40% - Accent6 7 8" xfId="8353"/>
    <cellStyle name="40% - Accent6 7 8 2" xfId="16635"/>
    <cellStyle name="40% - Accent6 7 9" xfId="10847"/>
    <cellStyle name="40% - Accent6 7 9 2" xfId="19125"/>
    <cellStyle name="40% - Accent6 8" xfId="2279"/>
    <cellStyle name="40% - Accent6 8 10" xfId="5336"/>
    <cellStyle name="40% - Accent6 8 11" xfId="13662"/>
    <cellStyle name="40% - Accent6 8 2" xfId="2280"/>
    <cellStyle name="40% - Accent6 8 2 2" xfId="2281"/>
    <cellStyle name="40% - Accent6 8 2 2 2" xfId="8362"/>
    <cellStyle name="40% - Accent6 8 2 2 2 2" xfId="16644"/>
    <cellStyle name="40% - Accent6 8 2 2 3" xfId="10856"/>
    <cellStyle name="40% - Accent6 8 2 2 3 2" xfId="19134"/>
    <cellStyle name="40% - Accent6 8 2 2 4" xfId="5338"/>
    <cellStyle name="40% - Accent6 8 2 2 5" xfId="13664"/>
    <cellStyle name="40% - Accent6 8 2 3" xfId="8361"/>
    <cellStyle name="40% - Accent6 8 2 3 2" xfId="16643"/>
    <cellStyle name="40% - Accent6 8 2 4" xfId="10855"/>
    <cellStyle name="40% - Accent6 8 2 4 2" xfId="19133"/>
    <cellStyle name="40% - Accent6 8 2 5" xfId="5337"/>
    <cellStyle name="40% - Accent6 8 2 6" xfId="13663"/>
    <cellStyle name="40% - Accent6 8 3" xfId="2282"/>
    <cellStyle name="40% - Accent6 8 3 2" xfId="2283"/>
    <cellStyle name="40% - Accent6 8 3 2 2" xfId="8364"/>
    <cellStyle name="40% - Accent6 8 3 2 2 2" xfId="16646"/>
    <cellStyle name="40% - Accent6 8 3 2 3" xfId="10858"/>
    <cellStyle name="40% - Accent6 8 3 2 3 2" xfId="19136"/>
    <cellStyle name="40% - Accent6 8 3 2 4" xfId="5340"/>
    <cellStyle name="40% - Accent6 8 3 2 5" xfId="13666"/>
    <cellStyle name="40% - Accent6 8 3 3" xfId="8363"/>
    <cellStyle name="40% - Accent6 8 3 3 2" xfId="16645"/>
    <cellStyle name="40% - Accent6 8 3 4" xfId="10857"/>
    <cellStyle name="40% - Accent6 8 3 4 2" xfId="19135"/>
    <cellStyle name="40% - Accent6 8 3 5" xfId="5339"/>
    <cellStyle name="40% - Accent6 8 3 6" xfId="13665"/>
    <cellStyle name="40% - Accent6 8 4" xfId="2284"/>
    <cellStyle name="40% - Accent6 8 4 2" xfId="8365"/>
    <cellStyle name="40% - Accent6 8 4 2 2" xfId="16647"/>
    <cellStyle name="40% - Accent6 8 4 3" xfId="10859"/>
    <cellStyle name="40% - Accent6 8 4 3 2" xfId="19137"/>
    <cellStyle name="40% - Accent6 8 4 4" xfId="5341"/>
    <cellStyle name="40% - Accent6 8 4 5" xfId="13667"/>
    <cellStyle name="40% - Accent6 8 5" xfId="2285"/>
    <cellStyle name="40% - Accent6 8 5 2" xfId="8366"/>
    <cellStyle name="40% - Accent6 8 5 2 2" xfId="16648"/>
    <cellStyle name="40% - Accent6 8 5 3" xfId="10860"/>
    <cellStyle name="40% - Accent6 8 5 3 2" xfId="19138"/>
    <cellStyle name="40% - Accent6 8 5 4" xfId="5342"/>
    <cellStyle name="40% - Accent6 8 5 5" xfId="13668"/>
    <cellStyle name="40% - Accent6 8 6" xfId="5343"/>
    <cellStyle name="40% - Accent6 8 6 2" xfId="13669"/>
    <cellStyle name="40% - Accent6 8 7" xfId="5938"/>
    <cellStyle name="40% - Accent6 8 7 2" xfId="14220"/>
    <cellStyle name="40% - Accent6 8 8" xfId="8360"/>
    <cellStyle name="40% - Accent6 8 8 2" xfId="16642"/>
    <cellStyle name="40% - Accent6 8 9" xfId="10854"/>
    <cellStyle name="40% - Accent6 8 9 2" xfId="19132"/>
    <cellStyle name="40% - Accent6 9" xfId="2286"/>
    <cellStyle name="40% - Accent6 9 10" xfId="5344"/>
    <cellStyle name="40% - Accent6 9 11" xfId="13670"/>
    <cellStyle name="40% - Accent6 9 2" xfId="2287"/>
    <cellStyle name="40% - Accent6 9 2 2" xfId="2288"/>
    <cellStyle name="40% - Accent6 9 2 2 2" xfId="8369"/>
    <cellStyle name="40% - Accent6 9 2 2 2 2" xfId="16651"/>
    <cellStyle name="40% - Accent6 9 2 2 3" xfId="10863"/>
    <cellStyle name="40% - Accent6 9 2 2 3 2" xfId="19141"/>
    <cellStyle name="40% - Accent6 9 2 2 4" xfId="5346"/>
    <cellStyle name="40% - Accent6 9 2 2 5" xfId="13672"/>
    <cellStyle name="40% - Accent6 9 2 3" xfId="8368"/>
    <cellStyle name="40% - Accent6 9 2 3 2" xfId="16650"/>
    <cellStyle name="40% - Accent6 9 2 4" xfId="10862"/>
    <cellStyle name="40% - Accent6 9 2 4 2" xfId="19140"/>
    <cellStyle name="40% - Accent6 9 2 5" xfId="5345"/>
    <cellStyle name="40% - Accent6 9 2 6" xfId="13671"/>
    <cellStyle name="40% - Accent6 9 3" xfId="2289"/>
    <cellStyle name="40% - Accent6 9 3 2" xfId="2290"/>
    <cellStyle name="40% - Accent6 9 3 2 2" xfId="8371"/>
    <cellStyle name="40% - Accent6 9 3 2 2 2" xfId="16653"/>
    <cellStyle name="40% - Accent6 9 3 2 3" xfId="10865"/>
    <cellStyle name="40% - Accent6 9 3 2 3 2" xfId="19143"/>
    <cellStyle name="40% - Accent6 9 3 2 4" xfId="5348"/>
    <cellStyle name="40% - Accent6 9 3 2 5" xfId="13674"/>
    <cellStyle name="40% - Accent6 9 3 3" xfId="8370"/>
    <cellStyle name="40% - Accent6 9 3 3 2" xfId="16652"/>
    <cellStyle name="40% - Accent6 9 3 4" xfId="10864"/>
    <cellStyle name="40% - Accent6 9 3 4 2" xfId="19142"/>
    <cellStyle name="40% - Accent6 9 3 5" xfId="5347"/>
    <cellStyle name="40% - Accent6 9 3 6" xfId="13673"/>
    <cellStyle name="40% - Accent6 9 4" xfId="2291"/>
    <cellStyle name="40% - Accent6 9 4 2" xfId="8372"/>
    <cellStyle name="40% - Accent6 9 4 2 2" xfId="16654"/>
    <cellStyle name="40% - Accent6 9 4 3" xfId="10866"/>
    <cellStyle name="40% - Accent6 9 4 3 2" xfId="19144"/>
    <cellStyle name="40% - Accent6 9 4 4" xfId="5349"/>
    <cellStyle name="40% - Accent6 9 4 5" xfId="13675"/>
    <cellStyle name="40% - Accent6 9 5" xfId="2292"/>
    <cellStyle name="40% - Accent6 9 5 2" xfId="8373"/>
    <cellStyle name="40% - Accent6 9 5 2 2" xfId="16655"/>
    <cellStyle name="40% - Accent6 9 5 3" xfId="10867"/>
    <cellStyle name="40% - Accent6 9 5 3 2" xfId="19145"/>
    <cellStyle name="40% - Accent6 9 5 4" xfId="5350"/>
    <cellStyle name="40% - Accent6 9 5 5" xfId="13676"/>
    <cellStyle name="40% - Accent6 9 6" xfId="5351"/>
    <cellStyle name="40% - Accent6 9 6 2" xfId="13677"/>
    <cellStyle name="40% - Accent6 9 7" xfId="6024"/>
    <cellStyle name="40% - Accent6 9 7 2" xfId="14306"/>
    <cellStyle name="40% - Accent6 9 8" xfId="8367"/>
    <cellStyle name="40% - Accent6 9 8 2" xfId="16649"/>
    <cellStyle name="40% - Accent6 9 9" xfId="10861"/>
    <cellStyle name="40% - Accent6 9 9 2" xfId="19139"/>
    <cellStyle name="60% - Accent1" xfId="2293" builtinId="32" customBuiltin="1"/>
    <cellStyle name="60% - Accent1 2" xfId="5352"/>
    <cellStyle name="60% - Accent2" xfId="2294" builtinId="36" customBuiltin="1"/>
    <cellStyle name="60% - Accent2 2" xfId="5353"/>
    <cellStyle name="60% - Accent3" xfId="2295" builtinId="40" customBuiltin="1"/>
    <cellStyle name="60% - Accent3 2" xfId="5354"/>
    <cellStyle name="60% - Accent4" xfId="2296" builtinId="44" customBuiltin="1"/>
    <cellStyle name="60% - Accent4 2" xfId="5355"/>
    <cellStyle name="60% - Accent5" xfId="2297" builtinId="48" customBuiltin="1"/>
    <cellStyle name="60% - Accent5 2" xfId="5356"/>
    <cellStyle name="60% - Accent6" xfId="2298" builtinId="52" customBuiltin="1"/>
    <cellStyle name="60% - Accent6 2" xfId="5357"/>
    <cellStyle name="Accent1" xfId="2299" builtinId="29" customBuiltin="1"/>
    <cellStyle name="Accent1 2" xfId="5358"/>
    <cellStyle name="Accent2" xfId="2300" builtinId="33" customBuiltin="1"/>
    <cellStyle name="Accent2 2" xfId="5359"/>
    <cellStyle name="Accent3" xfId="2301" builtinId="37" customBuiltin="1"/>
    <cellStyle name="Accent3 2" xfId="5360"/>
    <cellStyle name="Accent4" xfId="2302" builtinId="41" customBuiltin="1"/>
    <cellStyle name="Accent4 2" xfId="5361"/>
    <cellStyle name="Accent5" xfId="2303" builtinId="45" customBuiltin="1"/>
    <cellStyle name="Accent6" xfId="2304" builtinId="49" customBuiltin="1"/>
    <cellStyle name="Accent6 2" xfId="5362"/>
    <cellStyle name="Bad" xfId="2305" builtinId="27" customBuiltin="1"/>
    <cellStyle name="Bad 2" xfId="5363"/>
    <cellStyle name="Calculation" xfId="2306" builtinId="22" customBuiltin="1"/>
    <cellStyle name="Calculation 2" xfId="5364"/>
    <cellStyle name="Check Cell" xfId="2307" builtinId="23" customBuiltin="1"/>
    <cellStyle name="Comma" xfId="2308" builtinId="3"/>
    <cellStyle name="Comma 2" xfId="2309"/>
    <cellStyle name="Comma 2 2" xfId="2310"/>
    <cellStyle name="Comma 2 2 2" xfId="5767"/>
    <cellStyle name="Comma 2 2 3" xfId="5366"/>
    <cellStyle name="Comma 2 3" xfId="5650"/>
    <cellStyle name="Comma 2 4" xfId="5365"/>
    <cellStyle name="Comma 3" xfId="2311"/>
    <cellStyle name="Comma 3 2" xfId="2312"/>
    <cellStyle name="Comma 3 2 2" xfId="8374"/>
    <cellStyle name="Comma 3 2 3" xfId="5368"/>
    <cellStyle name="Comma 3 3" xfId="5666"/>
    <cellStyle name="Comma 3 4" xfId="5367"/>
    <cellStyle name="Comma 4" xfId="2313"/>
    <cellStyle name="Comma_2007ASAForecast-Final" xfId="2314"/>
    <cellStyle name="Explanatory Text" xfId="2315" builtinId="53" customBuiltin="1"/>
    <cellStyle name="Good" xfId="2316" builtinId="26" customBuiltin="1"/>
    <cellStyle name="Good 2" xfId="5369"/>
    <cellStyle name="Heading 1" xfId="2317" builtinId="16" customBuiltin="1"/>
    <cellStyle name="Heading 1 2" xfId="5370"/>
    <cellStyle name="Heading 2" xfId="2318" builtinId="17" customBuiltin="1"/>
    <cellStyle name="Heading 2 2" xfId="5371"/>
    <cellStyle name="Heading 3" xfId="2319" builtinId="18" customBuiltin="1"/>
    <cellStyle name="Heading 3 2" xfId="5372"/>
    <cellStyle name="Heading 4" xfId="2320" builtinId="19" customBuiltin="1"/>
    <cellStyle name="Heading 4 2" xfId="5373"/>
    <cellStyle name="Input" xfId="2321" builtinId="20" customBuiltin="1"/>
    <cellStyle name="Input 2" xfId="5374"/>
    <cellStyle name="Linked Cell" xfId="2322" builtinId="24" customBuiltin="1"/>
    <cellStyle name="Linked Cell 2" xfId="5375"/>
    <cellStyle name="Neutral" xfId="2323" builtinId="28" customBuiltin="1"/>
    <cellStyle name="Neutral 2" xfId="5376"/>
    <cellStyle name="Normal" xfId="0" builtinId="0"/>
    <cellStyle name="Normal 10" xfId="2324"/>
    <cellStyle name="Normal 10 2" xfId="5378"/>
    <cellStyle name="Normal 10 2 2" xfId="13678"/>
    <cellStyle name="Normal 10 3" xfId="6039"/>
    <cellStyle name="Normal 10 3 2" xfId="14321"/>
    <cellStyle name="Normal 10 4" xfId="8375"/>
    <cellStyle name="Normal 10 5" xfId="5377"/>
    <cellStyle name="Normal 11" xfId="5379"/>
    <cellStyle name="Normal 11 2" xfId="6040"/>
    <cellStyle name="Normal 11 2 2" xfId="14322"/>
    <cellStyle name="Normal 11 3" xfId="13679"/>
    <cellStyle name="Normal 12" xfId="5380"/>
    <cellStyle name="Normal 12 2" xfId="6054"/>
    <cellStyle name="Normal 12 2 2" xfId="14336"/>
    <cellStyle name="Normal 12 3" xfId="13680"/>
    <cellStyle name="Normal 13" xfId="5381"/>
    <cellStyle name="Normal 13 2" xfId="6068"/>
    <cellStyle name="Normal 13 2 2" xfId="14350"/>
    <cellStyle name="Normal 13 3" xfId="13681"/>
    <cellStyle name="Normal 14" xfId="2739"/>
    <cellStyle name="Normal 15" xfId="19344"/>
    <cellStyle name="Normal 16" xfId="19345"/>
    <cellStyle name="Normal 17" xfId="19359"/>
    <cellStyle name="Normal 2" xfId="2325"/>
    <cellStyle name="Normal 2 10" xfId="2326"/>
    <cellStyle name="Normal 2 10 2" xfId="2327"/>
    <cellStyle name="Normal 2 10 2 2" xfId="8378"/>
    <cellStyle name="Normal 2 10 2 2 2" xfId="16658"/>
    <cellStyle name="Normal 2 10 2 3" xfId="10870"/>
    <cellStyle name="Normal 2 10 2 3 2" xfId="19148"/>
    <cellStyle name="Normal 2 10 2 4" xfId="5384"/>
    <cellStyle name="Normal 2 10 2 5" xfId="13684"/>
    <cellStyle name="Normal 2 10 3" xfId="8377"/>
    <cellStyle name="Normal 2 10 3 2" xfId="16657"/>
    <cellStyle name="Normal 2 10 4" xfId="10869"/>
    <cellStyle name="Normal 2 10 4 2" xfId="19147"/>
    <cellStyle name="Normal 2 10 5" xfId="5383"/>
    <cellStyle name="Normal 2 10 6" xfId="13683"/>
    <cellStyle name="Normal 2 11" xfId="2328"/>
    <cellStyle name="Normal 2 11 2" xfId="8379"/>
    <cellStyle name="Normal 2 11 2 2" xfId="16659"/>
    <cellStyle name="Normal 2 11 3" xfId="10871"/>
    <cellStyle name="Normal 2 11 3 2" xfId="19149"/>
    <cellStyle name="Normal 2 11 4" xfId="5385"/>
    <cellStyle name="Normal 2 11 5" xfId="13685"/>
    <cellStyle name="Normal 2 12" xfId="2329"/>
    <cellStyle name="Normal 2 12 2" xfId="8380"/>
    <cellStyle name="Normal 2 12 2 2" xfId="16660"/>
    <cellStyle name="Normal 2 12 3" xfId="10872"/>
    <cellStyle name="Normal 2 12 3 2" xfId="19150"/>
    <cellStyle name="Normal 2 12 4" xfId="5386"/>
    <cellStyle name="Normal 2 12 5" xfId="13686"/>
    <cellStyle name="Normal 2 13" xfId="5635"/>
    <cellStyle name="Normal 2 13 2" xfId="13925"/>
    <cellStyle name="Normal 2 14" xfId="8376"/>
    <cellStyle name="Normal 2 14 2" xfId="16656"/>
    <cellStyle name="Normal 2 15" xfId="10868"/>
    <cellStyle name="Normal 2 15 2" xfId="19146"/>
    <cellStyle name="Normal 2 16" xfId="5382"/>
    <cellStyle name="Normal 2 17" xfId="13682"/>
    <cellStyle name="Normal 2 2" xfId="2330"/>
    <cellStyle name="Normal 2 2 10" xfId="8381"/>
    <cellStyle name="Normal 2 2 10 2" xfId="16661"/>
    <cellStyle name="Normal 2 2 11" xfId="10873"/>
    <cellStyle name="Normal 2 2 11 2" xfId="19151"/>
    <cellStyle name="Normal 2 2 12" xfId="5387"/>
    <cellStyle name="Normal 2 2 13" xfId="13687"/>
    <cellStyle name="Normal 2 2 2" xfId="2331"/>
    <cellStyle name="Normal 2 2 2 10" xfId="13688"/>
    <cellStyle name="Normal 2 2 2 2" xfId="2332"/>
    <cellStyle name="Normal 2 2 2 2 2" xfId="2333"/>
    <cellStyle name="Normal 2 2 2 2 2 2" xfId="8384"/>
    <cellStyle name="Normal 2 2 2 2 2 2 2" xfId="16664"/>
    <cellStyle name="Normal 2 2 2 2 2 3" xfId="10876"/>
    <cellStyle name="Normal 2 2 2 2 2 3 2" xfId="19154"/>
    <cellStyle name="Normal 2 2 2 2 2 4" xfId="5390"/>
    <cellStyle name="Normal 2 2 2 2 2 5" xfId="13690"/>
    <cellStyle name="Normal 2 2 2 2 3" xfId="8383"/>
    <cellStyle name="Normal 2 2 2 2 3 2" xfId="16663"/>
    <cellStyle name="Normal 2 2 2 2 4" xfId="10875"/>
    <cellStyle name="Normal 2 2 2 2 4 2" xfId="19153"/>
    <cellStyle name="Normal 2 2 2 2 5" xfId="5389"/>
    <cellStyle name="Normal 2 2 2 2 6" xfId="13689"/>
    <cellStyle name="Normal 2 2 2 3" xfId="2334"/>
    <cellStyle name="Normal 2 2 2 3 2" xfId="2335"/>
    <cellStyle name="Normal 2 2 2 3 2 2" xfId="8386"/>
    <cellStyle name="Normal 2 2 2 3 2 2 2" xfId="16666"/>
    <cellStyle name="Normal 2 2 2 3 2 3" xfId="10878"/>
    <cellStyle name="Normal 2 2 2 3 2 3 2" xfId="19156"/>
    <cellStyle name="Normal 2 2 2 3 2 4" xfId="5392"/>
    <cellStyle name="Normal 2 2 2 3 2 5" xfId="13692"/>
    <cellStyle name="Normal 2 2 2 3 3" xfId="8385"/>
    <cellStyle name="Normal 2 2 2 3 3 2" xfId="16665"/>
    <cellStyle name="Normal 2 2 2 3 4" xfId="10877"/>
    <cellStyle name="Normal 2 2 2 3 4 2" xfId="19155"/>
    <cellStyle name="Normal 2 2 2 3 5" xfId="5391"/>
    <cellStyle name="Normal 2 2 2 3 6" xfId="13691"/>
    <cellStyle name="Normal 2 2 2 4" xfId="2336"/>
    <cellStyle name="Normal 2 2 2 4 2" xfId="8387"/>
    <cellStyle name="Normal 2 2 2 4 2 2" xfId="16667"/>
    <cellStyle name="Normal 2 2 2 4 3" xfId="10879"/>
    <cellStyle name="Normal 2 2 2 4 3 2" xfId="19157"/>
    <cellStyle name="Normal 2 2 2 4 4" xfId="5393"/>
    <cellStyle name="Normal 2 2 2 4 5" xfId="13693"/>
    <cellStyle name="Normal 2 2 2 5" xfId="2337"/>
    <cellStyle name="Normal 2 2 2 5 2" xfId="8388"/>
    <cellStyle name="Normal 2 2 2 5 2 2" xfId="16668"/>
    <cellStyle name="Normal 2 2 2 5 3" xfId="10880"/>
    <cellStyle name="Normal 2 2 2 5 3 2" xfId="19158"/>
    <cellStyle name="Normal 2 2 2 5 4" xfId="5394"/>
    <cellStyle name="Normal 2 2 2 5 5" xfId="13694"/>
    <cellStyle name="Normal 2 2 2 6" xfId="5855"/>
    <cellStyle name="Normal 2 2 2 6 2" xfId="14137"/>
    <cellStyle name="Normal 2 2 2 7" xfId="8382"/>
    <cellStyle name="Normal 2 2 2 7 2" xfId="16662"/>
    <cellStyle name="Normal 2 2 2 8" xfId="10874"/>
    <cellStyle name="Normal 2 2 2 8 2" xfId="19152"/>
    <cellStyle name="Normal 2 2 2 9" xfId="5388"/>
    <cellStyle name="Normal 2 2 3" xfId="2338"/>
    <cellStyle name="Normal 2 2 3 10" xfId="13695"/>
    <cellStyle name="Normal 2 2 3 2" xfId="2339"/>
    <cellStyle name="Normal 2 2 3 2 2" xfId="2340"/>
    <cellStyle name="Normal 2 2 3 2 2 2" xfId="8391"/>
    <cellStyle name="Normal 2 2 3 2 2 2 2" xfId="16671"/>
    <cellStyle name="Normal 2 2 3 2 2 3" xfId="10883"/>
    <cellStyle name="Normal 2 2 3 2 2 3 2" xfId="19161"/>
    <cellStyle name="Normal 2 2 3 2 2 4" xfId="5397"/>
    <cellStyle name="Normal 2 2 3 2 2 5" xfId="13697"/>
    <cellStyle name="Normal 2 2 3 2 3" xfId="8390"/>
    <cellStyle name="Normal 2 2 3 2 3 2" xfId="16670"/>
    <cellStyle name="Normal 2 2 3 2 4" xfId="10882"/>
    <cellStyle name="Normal 2 2 3 2 4 2" xfId="19160"/>
    <cellStyle name="Normal 2 2 3 2 5" xfId="5396"/>
    <cellStyle name="Normal 2 2 3 2 6" xfId="13696"/>
    <cellStyle name="Normal 2 2 3 3" xfId="2341"/>
    <cellStyle name="Normal 2 2 3 3 2" xfId="2342"/>
    <cellStyle name="Normal 2 2 3 3 2 2" xfId="8393"/>
    <cellStyle name="Normal 2 2 3 3 2 2 2" xfId="16673"/>
    <cellStyle name="Normal 2 2 3 3 2 3" xfId="10885"/>
    <cellStyle name="Normal 2 2 3 3 2 3 2" xfId="19163"/>
    <cellStyle name="Normal 2 2 3 3 2 4" xfId="5399"/>
    <cellStyle name="Normal 2 2 3 3 2 5" xfId="13699"/>
    <cellStyle name="Normal 2 2 3 3 3" xfId="8392"/>
    <cellStyle name="Normal 2 2 3 3 3 2" xfId="16672"/>
    <cellStyle name="Normal 2 2 3 3 4" xfId="10884"/>
    <cellStyle name="Normal 2 2 3 3 4 2" xfId="19162"/>
    <cellStyle name="Normal 2 2 3 3 5" xfId="5398"/>
    <cellStyle name="Normal 2 2 3 3 6" xfId="13698"/>
    <cellStyle name="Normal 2 2 3 4" xfId="2343"/>
    <cellStyle name="Normal 2 2 3 4 2" xfId="8394"/>
    <cellStyle name="Normal 2 2 3 4 2 2" xfId="16674"/>
    <cellStyle name="Normal 2 2 3 4 3" xfId="10886"/>
    <cellStyle name="Normal 2 2 3 4 3 2" xfId="19164"/>
    <cellStyle name="Normal 2 2 3 4 4" xfId="5400"/>
    <cellStyle name="Normal 2 2 3 4 5" xfId="13700"/>
    <cellStyle name="Normal 2 2 3 5" xfId="2344"/>
    <cellStyle name="Normal 2 2 3 5 2" xfId="8395"/>
    <cellStyle name="Normal 2 2 3 5 2 2" xfId="16675"/>
    <cellStyle name="Normal 2 2 3 5 3" xfId="10887"/>
    <cellStyle name="Normal 2 2 3 5 3 2" xfId="19165"/>
    <cellStyle name="Normal 2 2 3 5 4" xfId="5401"/>
    <cellStyle name="Normal 2 2 3 5 5" xfId="13701"/>
    <cellStyle name="Normal 2 2 3 6" xfId="5953"/>
    <cellStyle name="Normal 2 2 3 6 2" xfId="14235"/>
    <cellStyle name="Normal 2 2 3 7" xfId="8389"/>
    <cellStyle name="Normal 2 2 3 7 2" xfId="16669"/>
    <cellStyle name="Normal 2 2 3 8" xfId="10881"/>
    <cellStyle name="Normal 2 2 3 8 2" xfId="19159"/>
    <cellStyle name="Normal 2 2 3 9" xfId="5395"/>
    <cellStyle name="Normal 2 2 4" xfId="2345"/>
    <cellStyle name="Normal 2 2 4 2" xfId="2346"/>
    <cellStyle name="Normal 2 2 4 2 2" xfId="2347"/>
    <cellStyle name="Normal 2 2 4 2 2 2" xfId="8398"/>
    <cellStyle name="Normal 2 2 4 2 2 2 2" xfId="16678"/>
    <cellStyle name="Normal 2 2 4 2 2 3" xfId="10890"/>
    <cellStyle name="Normal 2 2 4 2 2 3 2" xfId="19168"/>
    <cellStyle name="Normal 2 2 4 2 2 4" xfId="5404"/>
    <cellStyle name="Normal 2 2 4 2 2 5" xfId="13704"/>
    <cellStyle name="Normal 2 2 4 2 3" xfId="8397"/>
    <cellStyle name="Normal 2 2 4 2 3 2" xfId="16677"/>
    <cellStyle name="Normal 2 2 4 2 4" xfId="10889"/>
    <cellStyle name="Normal 2 2 4 2 4 2" xfId="19167"/>
    <cellStyle name="Normal 2 2 4 2 5" xfId="5403"/>
    <cellStyle name="Normal 2 2 4 2 6" xfId="13703"/>
    <cellStyle name="Normal 2 2 4 3" xfId="2348"/>
    <cellStyle name="Normal 2 2 4 3 2" xfId="8399"/>
    <cellStyle name="Normal 2 2 4 3 2 2" xfId="16679"/>
    <cellStyle name="Normal 2 2 4 3 3" xfId="10891"/>
    <cellStyle name="Normal 2 2 4 3 3 2" xfId="19169"/>
    <cellStyle name="Normal 2 2 4 3 4" xfId="5405"/>
    <cellStyle name="Normal 2 2 4 3 5" xfId="13705"/>
    <cellStyle name="Normal 2 2 4 4" xfId="2349"/>
    <cellStyle name="Normal 2 2 4 4 2" xfId="8400"/>
    <cellStyle name="Normal 2 2 4 4 2 2" xfId="16680"/>
    <cellStyle name="Normal 2 2 4 4 3" xfId="10892"/>
    <cellStyle name="Normal 2 2 4 4 3 2" xfId="19170"/>
    <cellStyle name="Normal 2 2 4 4 4" xfId="5406"/>
    <cellStyle name="Normal 2 2 4 4 5" xfId="13706"/>
    <cellStyle name="Normal 2 2 4 5" xfId="5768"/>
    <cellStyle name="Normal 2 2 4 5 2" xfId="14051"/>
    <cellStyle name="Normal 2 2 4 6" xfId="8396"/>
    <cellStyle name="Normal 2 2 4 6 2" xfId="16676"/>
    <cellStyle name="Normal 2 2 4 7" xfId="10888"/>
    <cellStyle name="Normal 2 2 4 7 2" xfId="19166"/>
    <cellStyle name="Normal 2 2 4 8" xfId="5402"/>
    <cellStyle name="Normal 2 2 4 9" xfId="13702"/>
    <cellStyle name="Normal 2 2 5" xfId="2350"/>
    <cellStyle name="Normal 2 2 5 2" xfId="2351"/>
    <cellStyle name="Normal 2 2 5 2 2" xfId="8402"/>
    <cellStyle name="Normal 2 2 5 2 2 2" xfId="16682"/>
    <cellStyle name="Normal 2 2 5 2 3" xfId="10894"/>
    <cellStyle name="Normal 2 2 5 2 3 2" xfId="19172"/>
    <cellStyle name="Normal 2 2 5 2 4" xfId="5408"/>
    <cellStyle name="Normal 2 2 5 2 5" xfId="13708"/>
    <cellStyle name="Normal 2 2 5 3" xfId="8401"/>
    <cellStyle name="Normal 2 2 5 3 2" xfId="16681"/>
    <cellStyle name="Normal 2 2 5 4" xfId="10893"/>
    <cellStyle name="Normal 2 2 5 4 2" xfId="19171"/>
    <cellStyle name="Normal 2 2 5 5" xfId="5407"/>
    <cellStyle name="Normal 2 2 5 6" xfId="13707"/>
    <cellStyle name="Normal 2 2 6" xfId="2352"/>
    <cellStyle name="Normal 2 2 6 2" xfId="2353"/>
    <cellStyle name="Normal 2 2 6 2 2" xfId="8404"/>
    <cellStyle name="Normal 2 2 6 2 2 2" xfId="16684"/>
    <cellStyle name="Normal 2 2 6 2 3" xfId="10896"/>
    <cellStyle name="Normal 2 2 6 2 3 2" xfId="19174"/>
    <cellStyle name="Normal 2 2 6 2 4" xfId="5410"/>
    <cellStyle name="Normal 2 2 6 2 5" xfId="13710"/>
    <cellStyle name="Normal 2 2 6 3" xfId="8403"/>
    <cellStyle name="Normal 2 2 6 3 2" xfId="16683"/>
    <cellStyle name="Normal 2 2 6 4" xfId="10895"/>
    <cellStyle name="Normal 2 2 6 4 2" xfId="19173"/>
    <cellStyle name="Normal 2 2 6 5" xfId="5409"/>
    <cellStyle name="Normal 2 2 6 6" xfId="13709"/>
    <cellStyle name="Normal 2 2 7" xfId="2354"/>
    <cellStyle name="Normal 2 2 7 2" xfId="8405"/>
    <cellStyle name="Normal 2 2 7 2 2" xfId="16685"/>
    <cellStyle name="Normal 2 2 7 3" xfId="10897"/>
    <cellStyle name="Normal 2 2 7 3 2" xfId="19175"/>
    <cellStyle name="Normal 2 2 7 4" xfId="5411"/>
    <cellStyle name="Normal 2 2 7 5" xfId="13711"/>
    <cellStyle name="Normal 2 2 8" xfId="2355"/>
    <cellStyle name="Normal 2 2 8 2" xfId="8406"/>
    <cellStyle name="Normal 2 2 8 2 2" xfId="16686"/>
    <cellStyle name="Normal 2 2 8 3" xfId="10898"/>
    <cellStyle name="Normal 2 2 8 3 2" xfId="19176"/>
    <cellStyle name="Normal 2 2 8 4" xfId="5412"/>
    <cellStyle name="Normal 2 2 8 5" xfId="13712"/>
    <cellStyle name="Normal 2 2 9" xfId="5651"/>
    <cellStyle name="Normal 2 2 9 2" xfId="13939"/>
    <cellStyle name="Normal 2 3" xfId="2356"/>
    <cellStyle name="Normal 2 3 10" xfId="8407"/>
    <cellStyle name="Normal 2 3 10 2" xfId="16687"/>
    <cellStyle name="Normal 2 3 11" xfId="10899"/>
    <cellStyle name="Normal 2 3 11 2" xfId="19177"/>
    <cellStyle name="Normal 2 3 12" xfId="5413"/>
    <cellStyle name="Normal 2 3 13" xfId="13713"/>
    <cellStyle name="Normal 2 3 2" xfId="2357"/>
    <cellStyle name="Normal 2 3 2 10" xfId="13714"/>
    <cellStyle name="Normal 2 3 2 2" xfId="2358"/>
    <cellStyle name="Normal 2 3 2 2 2" xfId="2359"/>
    <cellStyle name="Normal 2 3 2 2 2 2" xfId="8410"/>
    <cellStyle name="Normal 2 3 2 2 2 2 2" xfId="16690"/>
    <cellStyle name="Normal 2 3 2 2 2 3" xfId="10902"/>
    <cellStyle name="Normal 2 3 2 2 2 3 2" xfId="19180"/>
    <cellStyle name="Normal 2 3 2 2 2 4" xfId="5416"/>
    <cellStyle name="Normal 2 3 2 2 2 5" xfId="13716"/>
    <cellStyle name="Normal 2 3 2 2 3" xfId="8409"/>
    <cellStyle name="Normal 2 3 2 2 3 2" xfId="16689"/>
    <cellStyle name="Normal 2 3 2 2 4" xfId="10901"/>
    <cellStyle name="Normal 2 3 2 2 4 2" xfId="19179"/>
    <cellStyle name="Normal 2 3 2 2 5" xfId="5415"/>
    <cellStyle name="Normal 2 3 2 2 6" xfId="13715"/>
    <cellStyle name="Normal 2 3 2 3" xfId="2360"/>
    <cellStyle name="Normal 2 3 2 3 2" xfId="2361"/>
    <cellStyle name="Normal 2 3 2 3 2 2" xfId="8412"/>
    <cellStyle name="Normal 2 3 2 3 2 2 2" xfId="16692"/>
    <cellStyle name="Normal 2 3 2 3 2 3" xfId="10904"/>
    <cellStyle name="Normal 2 3 2 3 2 3 2" xfId="19182"/>
    <cellStyle name="Normal 2 3 2 3 2 4" xfId="5418"/>
    <cellStyle name="Normal 2 3 2 3 2 5" xfId="13718"/>
    <cellStyle name="Normal 2 3 2 3 3" xfId="8411"/>
    <cellStyle name="Normal 2 3 2 3 3 2" xfId="16691"/>
    <cellStyle name="Normal 2 3 2 3 4" xfId="10903"/>
    <cellStyle name="Normal 2 3 2 3 4 2" xfId="19181"/>
    <cellStyle name="Normal 2 3 2 3 5" xfId="5417"/>
    <cellStyle name="Normal 2 3 2 3 6" xfId="13717"/>
    <cellStyle name="Normal 2 3 2 4" xfId="2362"/>
    <cellStyle name="Normal 2 3 2 4 2" xfId="8413"/>
    <cellStyle name="Normal 2 3 2 4 2 2" xfId="16693"/>
    <cellStyle name="Normal 2 3 2 4 3" xfId="10905"/>
    <cellStyle name="Normal 2 3 2 4 3 2" xfId="19183"/>
    <cellStyle name="Normal 2 3 2 4 4" xfId="5419"/>
    <cellStyle name="Normal 2 3 2 4 5" xfId="13719"/>
    <cellStyle name="Normal 2 3 2 5" xfId="2363"/>
    <cellStyle name="Normal 2 3 2 5 2" xfId="8414"/>
    <cellStyle name="Normal 2 3 2 5 2 2" xfId="16694"/>
    <cellStyle name="Normal 2 3 2 5 3" xfId="10906"/>
    <cellStyle name="Normal 2 3 2 5 3 2" xfId="19184"/>
    <cellStyle name="Normal 2 3 2 5 4" xfId="5420"/>
    <cellStyle name="Normal 2 3 2 5 5" xfId="13720"/>
    <cellStyle name="Normal 2 3 2 6" xfId="5869"/>
    <cellStyle name="Normal 2 3 2 6 2" xfId="14151"/>
    <cellStyle name="Normal 2 3 2 7" xfId="8408"/>
    <cellStyle name="Normal 2 3 2 7 2" xfId="16688"/>
    <cellStyle name="Normal 2 3 2 8" xfId="10900"/>
    <cellStyle name="Normal 2 3 2 8 2" xfId="19178"/>
    <cellStyle name="Normal 2 3 2 9" xfId="5414"/>
    <cellStyle name="Normal 2 3 3" xfId="2364"/>
    <cellStyle name="Normal 2 3 3 10" xfId="13721"/>
    <cellStyle name="Normal 2 3 3 2" xfId="2365"/>
    <cellStyle name="Normal 2 3 3 2 2" xfId="2366"/>
    <cellStyle name="Normal 2 3 3 2 2 2" xfId="8417"/>
    <cellStyle name="Normal 2 3 3 2 2 2 2" xfId="16697"/>
    <cellStyle name="Normal 2 3 3 2 2 3" xfId="10909"/>
    <cellStyle name="Normal 2 3 3 2 2 3 2" xfId="19187"/>
    <cellStyle name="Normal 2 3 3 2 2 4" xfId="5423"/>
    <cellStyle name="Normal 2 3 3 2 2 5" xfId="13723"/>
    <cellStyle name="Normal 2 3 3 2 3" xfId="8416"/>
    <cellStyle name="Normal 2 3 3 2 3 2" xfId="16696"/>
    <cellStyle name="Normal 2 3 3 2 4" xfId="10908"/>
    <cellStyle name="Normal 2 3 3 2 4 2" xfId="19186"/>
    <cellStyle name="Normal 2 3 3 2 5" xfId="5422"/>
    <cellStyle name="Normal 2 3 3 2 6" xfId="13722"/>
    <cellStyle name="Normal 2 3 3 3" xfId="2367"/>
    <cellStyle name="Normal 2 3 3 3 2" xfId="2368"/>
    <cellStyle name="Normal 2 3 3 3 2 2" xfId="8419"/>
    <cellStyle name="Normal 2 3 3 3 2 2 2" xfId="16699"/>
    <cellStyle name="Normal 2 3 3 3 2 3" xfId="10911"/>
    <cellStyle name="Normal 2 3 3 3 2 3 2" xfId="19189"/>
    <cellStyle name="Normal 2 3 3 3 2 4" xfId="5425"/>
    <cellStyle name="Normal 2 3 3 3 2 5" xfId="13725"/>
    <cellStyle name="Normal 2 3 3 3 3" xfId="8418"/>
    <cellStyle name="Normal 2 3 3 3 3 2" xfId="16698"/>
    <cellStyle name="Normal 2 3 3 3 4" xfId="10910"/>
    <cellStyle name="Normal 2 3 3 3 4 2" xfId="19188"/>
    <cellStyle name="Normal 2 3 3 3 5" xfId="5424"/>
    <cellStyle name="Normal 2 3 3 3 6" xfId="13724"/>
    <cellStyle name="Normal 2 3 3 4" xfId="2369"/>
    <cellStyle name="Normal 2 3 3 4 2" xfId="8420"/>
    <cellStyle name="Normal 2 3 3 4 2 2" xfId="16700"/>
    <cellStyle name="Normal 2 3 3 4 3" xfId="10912"/>
    <cellStyle name="Normal 2 3 3 4 3 2" xfId="19190"/>
    <cellStyle name="Normal 2 3 3 4 4" xfId="5426"/>
    <cellStyle name="Normal 2 3 3 4 5" xfId="13726"/>
    <cellStyle name="Normal 2 3 3 5" xfId="2370"/>
    <cellStyle name="Normal 2 3 3 5 2" xfId="8421"/>
    <cellStyle name="Normal 2 3 3 5 2 2" xfId="16701"/>
    <cellStyle name="Normal 2 3 3 5 3" xfId="10913"/>
    <cellStyle name="Normal 2 3 3 5 3 2" xfId="19191"/>
    <cellStyle name="Normal 2 3 3 5 4" xfId="5427"/>
    <cellStyle name="Normal 2 3 3 5 5" xfId="13727"/>
    <cellStyle name="Normal 2 3 3 6" xfId="5967"/>
    <cellStyle name="Normal 2 3 3 6 2" xfId="14249"/>
    <cellStyle name="Normal 2 3 3 7" xfId="8415"/>
    <cellStyle name="Normal 2 3 3 7 2" xfId="16695"/>
    <cellStyle name="Normal 2 3 3 8" xfId="10907"/>
    <cellStyle name="Normal 2 3 3 8 2" xfId="19185"/>
    <cellStyle name="Normal 2 3 3 9" xfId="5421"/>
    <cellStyle name="Normal 2 3 4" xfId="2371"/>
    <cellStyle name="Normal 2 3 4 2" xfId="2372"/>
    <cellStyle name="Normal 2 3 4 2 2" xfId="2373"/>
    <cellStyle name="Normal 2 3 4 2 2 2" xfId="8424"/>
    <cellStyle name="Normal 2 3 4 2 2 2 2" xfId="16704"/>
    <cellStyle name="Normal 2 3 4 2 2 3" xfId="10916"/>
    <cellStyle name="Normal 2 3 4 2 2 3 2" xfId="19194"/>
    <cellStyle name="Normal 2 3 4 2 2 4" xfId="5430"/>
    <cellStyle name="Normal 2 3 4 2 2 5" xfId="13730"/>
    <cellStyle name="Normal 2 3 4 2 3" xfId="8423"/>
    <cellStyle name="Normal 2 3 4 2 3 2" xfId="16703"/>
    <cellStyle name="Normal 2 3 4 2 4" xfId="10915"/>
    <cellStyle name="Normal 2 3 4 2 4 2" xfId="19193"/>
    <cellStyle name="Normal 2 3 4 2 5" xfId="5429"/>
    <cellStyle name="Normal 2 3 4 2 6" xfId="13729"/>
    <cellStyle name="Normal 2 3 4 3" xfId="2374"/>
    <cellStyle name="Normal 2 3 4 3 2" xfId="8425"/>
    <cellStyle name="Normal 2 3 4 3 2 2" xfId="16705"/>
    <cellStyle name="Normal 2 3 4 3 3" xfId="10917"/>
    <cellStyle name="Normal 2 3 4 3 3 2" xfId="19195"/>
    <cellStyle name="Normal 2 3 4 3 4" xfId="5431"/>
    <cellStyle name="Normal 2 3 4 3 5" xfId="13731"/>
    <cellStyle name="Normal 2 3 4 4" xfId="2375"/>
    <cellStyle name="Normal 2 3 4 4 2" xfId="8426"/>
    <cellStyle name="Normal 2 3 4 4 2 2" xfId="16706"/>
    <cellStyle name="Normal 2 3 4 4 3" xfId="10918"/>
    <cellStyle name="Normal 2 3 4 4 3 2" xfId="19196"/>
    <cellStyle name="Normal 2 3 4 4 4" xfId="5432"/>
    <cellStyle name="Normal 2 3 4 4 5" xfId="13732"/>
    <cellStyle name="Normal 2 3 4 5" xfId="5783"/>
    <cellStyle name="Normal 2 3 4 5 2" xfId="14065"/>
    <cellStyle name="Normal 2 3 4 6" xfId="8422"/>
    <cellStyle name="Normal 2 3 4 6 2" xfId="16702"/>
    <cellStyle name="Normal 2 3 4 7" xfId="10914"/>
    <cellStyle name="Normal 2 3 4 7 2" xfId="19192"/>
    <cellStyle name="Normal 2 3 4 8" xfId="5428"/>
    <cellStyle name="Normal 2 3 4 9" xfId="13728"/>
    <cellStyle name="Normal 2 3 5" xfId="2376"/>
    <cellStyle name="Normal 2 3 5 2" xfId="2377"/>
    <cellStyle name="Normal 2 3 5 2 2" xfId="8428"/>
    <cellStyle name="Normal 2 3 5 2 2 2" xfId="16708"/>
    <cellStyle name="Normal 2 3 5 2 3" xfId="10920"/>
    <cellStyle name="Normal 2 3 5 2 3 2" xfId="19198"/>
    <cellStyle name="Normal 2 3 5 2 4" xfId="5434"/>
    <cellStyle name="Normal 2 3 5 2 5" xfId="13734"/>
    <cellStyle name="Normal 2 3 5 3" xfId="8427"/>
    <cellStyle name="Normal 2 3 5 3 2" xfId="16707"/>
    <cellStyle name="Normal 2 3 5 4" xfId="10919"/>
    <cellStyle name="Normal 2 3 5 4 2" xfId="19197"/>
    <cellStyle name="Normal 2 3 5 5" xfId="5433"/>
    <cellStyle name="Normal 2 3 5 6" xfId="13733"/>
    <cellStyle name="Normal 2 3 6" xfId="2378"/>
    <cellStyle name="Normal 2 3 6 2" xfId="2379"/>
    <cellStyle name="Normal 2 3 6 2 2" xfId="8430"/>
    <cellStyle name="Normal 2 3 6 2 2 2" xfId="16710"/>
    <cellStyle name="Normal 2 3 6 2 3" xfId="10922"/>
    <cellStyle name="Normal 2 3 6 2 3 2" xfId="19200"/>
    <cellStyle name="Normal 2 3 6 2 4" xfId="5436"/>
    <cellStyle name="Normal 2 3 6 2 5" xfId="13736"/>
    <cellStyle name="Normal 2 3 6 3" xfId="8429"/>
    <cellStyle name="Normal 2 3 6 3 2" xfId="16709"/>
    <cellStyle name="Normal 2 3 6 4" xfId="10921"/>
    <cellStyle name="Normal 2 3 6 4 2" xfId="19199"/>
    <cellStyle name="Normal 2 3 6 5" xfId="5435"/>
    <cellStyle name="Normal 2 3 6 6" xfId="13735"/>
    <cellStyle name="Normal 2 3 7" xfId="2380"/>
    <cellStyle name="Normal 2 3 7 2" xfId="8431"/>
    <cellStyle name="Normal 2 3 7 2 2" xfId="16711"/>
    <cellStyle name="Normal 2 3 7 3" xfId="10923"/>
    <cellStyle name="Normal 2 3 7 3 2" xfId="19201"/>
    <cellStyle name="Normal 2 3 7 4" xfId="5437"/>
    <cellStyle name="Normal 2 3 7 5" xfId="13737"/>
    <cellStyle name="Normal 2 3 8" xfId="2381"/>
    <cellStyle name="Normal 2 3 8 2" xfId="8432"/>
    <cellStyle name="Normal 2 3 8 2 2" xfId="16712"/>
    <cellStyle name="Normal 2 3 8 3" xfId="10924"/>
    <cellStyle name="Normal 2 3 8 3 2" xfId="19202"/>
    <cellStyle name="Normal 2 3 8 4" xfId="5438"/>
    <cellStyle name="Normal 2 3 8 5" xfId="13738"/>
    <cellStyle name="Normal 2 3 9" xfId="5667"/>
    <cellStyle name="Normal 2 3 9 2" xfId="13953"/>
    <cellStyle name="Normal 2 4" xfId="2382"/>
    <cellStyle name="Normal 2 4 10" xfId="8433"/>
    <cellStyle name="Normal 2 4 10 2" xfId="16713"/>
    <cellStyle name="Normal 2 4 11" xfId="10925"/>
    <cellStyle name="Normal 2 4 11 2" xfId="19203"/>
    <cellStyle name="Normal 2 4 12" xfId="5439"/>
    <cellStyle name="Normal 2 4 13" xfId="13739"/>
    <cellStyle name="Normal 2 4 2" xfId="2383"/>
    <cellStyle name="Normal 2 4 2 10" xfId="13740"/>
    <cellStyle name="Normal 2 4 2 2" xfId="2384"/>
    <cellStyle name="Normal 2 4 2 2 2" xfId="2385"/>
    <cellStyle name="Normal 2 4 2 2 2 2" xfId="8436"/>
    <cellStyle name="Normal 2 4 2 2 2 2 2" xfId="16716"/>
    <cellStyle name="Normal 2 4 2 2 2 3" xfId="10928"/>
    <cellStyle name="Normal 2 4 2 2 2 3 2" xfId="19206"/>
    <cellStyle name="Normal 2 4 2 2 2 4" xfId="5442"/>
    <cellStyle name="Normal 2 4 2 2 2 5" xfId="13742"/>
    <cellStyle name="Normal 2 4 2 2 3" xfId="8435"/>
    <cellStyle name="Normal 2 4 2 2 3 2" xfId="16715"/>
    <cellStyle name="Normal 2 4 2 2 4" xfId="10927"/>
    <cellStyle name="Normal 2 4 2 2 4 2" xfId="19205"/>
    <cellStyle name="Normal 2 4 2 2 5" xfId="5441"/>
    <cellStyle name="Normal 2 4 2 2 6" xfId="13741"/>
    <cellStyle name="Normal 2 4 2 3" xfId="2386"/>
    <cellStyle name="Normal 2 4 2 3 2" xfId="2387"/>
    <cellStyle name="Normal 2 4 2 3 2 2" xfId="8438"/>
    <cellStyle name="Normal 2 4 2 3 2 2 2" xfId="16718"/>
    <cellStyle name="Normal 2 4 2 3 2 3" xfId="10930"/>
    <cellStyle name="Normal 2 4 2 3 2 3 2" xfId="19208"/>
    <cellStyle name="Normal 2 4 2 3 2 4" xfId="5444"/>
    <cellStyle name="Normal 2 4 2 3 2 5" xfId="13744"/>
    <cellStyle name="Normal 2 4 2 3 3" xfId="8437"/>
    <cellStyle name="Normal 2 4 2 3 3 2" xfId="16717"/>
    <cellStyle name="Normal 2 4 2 3 4" xfId="10929"/>
    <cellStyle name="Normal 2 4 2 3 4 2" xfId="19207"/>
    <cellStyle name="Normal 2 4 2 3 5" xfId="5443"/>
    <cellStyle name="Normal 2 4 2 3 6" xfId="13743"/>
    <cellStyle name="Normal 2 4 2 4" xfId="2388"/>
    <cellStyle name="Normal 2 4 2 4 2" xfId="8439"/>
    <cellStyle name="Normal 2 4 2 4 2 2" xfId="16719"/>
    <cellStyle name="Normal 2 4 2 4 3" xfId="10931"/>
    <cellStyle name="Normal 2 4 2 4 3 2" xfId="19209"/>
    <cellStyle name="Normal 2 4 2 4 4" xfId="5445"/>
    <cellStyle name="Normal 2 4 2 4 5" xfId="13745"/>
    <cellStyle name="Normal 2 4 2 5" xfId="2389"/>
    <cellStyle name="Normal 2 4 2 5 2" xfId="8440"/>
    <cellStyle name="Normal 2 4 2 5 2 2" xfId="16720"/>
    <cellStyle name="Normal 2 4 2 5 3" xfId="10932"/>
    <cellStyle name="Normal 2 4 2 5 3 2" xfId="19210"/>
    <cellStyle name="Normal 2 4 2 5 4" xfId="5446"/>
    <cellStyle name="Normal 2 4 2 5 5" xfId="13746"/>
    <cellStyle name="Normal 2 4 2 6" xfId="5897"/>
    <cellStyle name="Normal 2 4 2 6 2" xfId="14179"/>
    <cellStyle name="Normal 2 4 2 7" xfId="8434"/>
    <cellStyle name="Normal 2 4 2 7 2" xfId="16714"/>
    <cellStyle name="Normal 2 4 2 8" xfId="10926"/>
    <cellStyle name="Normal 2 4 2 8 2" xfId="19204"/>
    <cellStyle name="Normal 2 4 2 9" xfId="5440"/>
    <cellStyle name="Normal 2 4 3" xfId="2390"/>
    <cellStyle name="Normal 2 4 3 10" xfId="13747"/>
    <cellStyle name="Normal 2 4 3 2" xfId="2391"/>
    <cellStyle name="Normal 2 4 3 2 2" xfId="2392"/>
    <cellStyle name="Normal 2 4 3 2 2 2" xfId="8443"/>
    <cellStyle name="Normal 2 4 3 2 2 2 2" xfId="16723"/>
    <cellStyle name="Normal 2 4 3 2 2 3" xfId="10935"/>
    <cellStyle name="Normal 2 4 3 2 2 3 2" xfId="19213"/>
    <cellStyle name="Normal 2 4 3 2 2 4" xfId="5449"/>
    <cellStyle name="Normal 2 4 3 2 2 5" xfId="13749"/>
    <cellStyle name="Normal 2 4 3 2 3" xfId="8442"/>
    <cellStyle name="Normal 2 4 3 2 3 2" xfId="16722"/>
    <cellStyle name="Normal 2 4 3 2 4" xfId="10934"/>
    <cellStyle name="Normal 2 4 3 2 4 2" xfId="19212"/>
    <cellStyle name="Normal 2 4 3 2 5" xfId="5448"/>
    <cellStyle name="Normal 2 4 3 2 6" xfId="13748"/>
    <cellStyle name="Normal 2 4 3 3" xfId="2393"/>
    <cellStyle name="Normal 2 4 3 3 2" xfId="2394"/>
    <cellStyle name="Normal 2 4 3 3 2 2" xfId="8445"/>
    <cellStyle name="Normal 2 4 3 3 2 2 2" xfId="16725"/>
    <cellStyle name="Normal 2 4 3 3 2 3" xfId="10937"/>
    <cellStyle name="Normal 2 4 3 3 2 3 2" xfId="19215"/>
    <cellStyle name="Normal 2 4 3 3 2 4" xfId="5451"/>
    <cellStyle name="Normal 2 4 3 3 2 5" xfId="13751"/>
    <cellStyle name="Normal 2 4 3 3 3" xfId="8444"/>
    <cellStyle name="Normal 2 4 3 3 3 2" xfId="16724"/>
    <cellStyle name="Normal 2 4 3 3 4" xfId="10936"/>
    <cellStyle name="Normal 2 4 3 3 4 2" xfId="19214"/>
    <cellStyle name="Normal 2 4 3 3 5" xfId="5450"/>
    <cellStyle name="Normal 2 4 3 3 6" xfId="13750"/>
    <cellStyle name="Normal 2 4 3 4" xfId="2395"/>
    <cellStyle name="Normal 2 4 3 4 2" xfId="8446"/>
    <cellStyle name="Normal 2 4 3 4 2 2" xfId="16726"/>
    <cellStyle name="Normal 2 4 3 4 3" xfId="10938"/>
    <cellStyle name="Normal 2 4 3 4 3 2" xfId="19216"/>
    <cellStyle name="Normal 2 4 3 4 4" xfId="5452"/>
    <cellStyle name="Normal 2 4 3 4 5" xfId="13752"/>
    <cellStyle name="Normal 2 4 3 5" xfId="2396"/>
    <cellStyle name="Normal 2 4 3 5 2" xfId="8447"/>
    <cellStyle name="Normal 2 4 3 5 2 2" xfId="16727"/>
    <cellStyle name="Normal 2 4 3 5 3" xfId="10939"/>
    <cellStyle name="Normal 2 4 3 5 3 2" xfId="19217"/>
    <cellStyle name="Normal 2 4 3 5 4" xfId="5453"/>
    <cellStyle name="Normal 2 4 3 5 5" xfId="13753"/>
    <cellStyle name="Normal 2 4 3 6" xfId="5995"/>
    <cellStyle name="Normal 2 4 3 6 2" xfId="14277"/>
    <cellStyle name="Normal 2 4 3 7" xfId="8441"/>
    <cellStyle name="Normal 2 4 3 7 2" xfId="16721"/>
    <cellStyle name="Normal 2 4 3 8" xfId="10933"/>
    <cellStyle name="Normal 2 4 3 8 2" xfId="19211"/>
    <cellStyle name="Normal 2 4 3 9" xfId="5447"/>
    <cellStyle name="Normal 2 4 4" xfId="2397"/>
    <cellStyle name="Normal 2 4 4 2" xfId="2398"/>
    <cellStyle name="Normal 2 4 4 2 2" xfId="2399"/>
    <cellStyle name="Normal 2 4 4 2 2 2" xfId="8450"/>
    <cellStyle name="Normal 2 4 4 2 2 2 2" xfId="16730"/>
    <cellStyle name="Normal 2 4 4 2 2 3" xfId="10942"/>
    <cellStyle name="Normal 2 4 4 2 2 3 2" xfId="19220"/>
    <cellStyle name="Normal 2 4 4 2 2 4" xfId="5456"/>
    <cellStyle name="Normal 2 4 4 2 2 5" xfId="13756"/>
    <cellStyle name="Normal 2 4 4 2 3" xfId="8449"/>
    <cellStyle name="Normal 2 4 4 2 3 2" xfId="16729"/>
    <cellStyle name="Normal 2 4 4 2 4" xfId="10941"/>
    <cellStyle name="Normal 2 4 4 2 4 2" xfId="19219"/>
    <cellStyle name="Normal 2 4 4 2 5" xfId="5455"/>
    <cellStyle name="Normal 2 4 4 2 6" xfId="13755"/>
    <cellStyle name="Normal 2 4 4 3" xfId="2400"/>
    <cellStyle name="Normal 2 4 4 3 2" xfId="8451"/>
    <cellStyle name="Normal 2 4 4 3 2 2" xfId="16731"/>
    <cellStyle name="Normal 2 4 4 3 3" xfId="10943"/>
    <cellStyle name="Normal 2 4 4 3 3 2" xfId="19221"/>
    <cellStyle name="Normal 2 4 4 3 4" xfId="5457"/>
    <cellStyle name="Normal 2 4 4 3 5" xfId="13757"/>
    <cellStyle name="Normal 2 4 4 4" xfId="2401"/>
    <cellStyle name="Normal 2 4 4 4 2" xfId="8452"/>
    <cellStyle name="Normal 2 4 4 4 2 2" xfId="16732"/>
    <cellStyle name="Normal 2 4 4 4 3" xfId="10944"/>
    <cellStyle name="Normal 2 4 4 4 3 2" xfId="19222"/>
    <cellStyle name="Normal 2 4 4 4 4" xfId="5458"/>
    <cellStyle name="Normal 2 4 4 4 5" xfId="13758"/>
    <cellStyle name="Normal 2 4 4 5" xfId="5811"/>
    <cellStyle name="Normal 2 4 4 5 2" xfId="14093"/>
    <cellStyle name="Normal 2 4 4 6" xfId="8448"/>
    <cellStyle name="Normal 2 4 4 6 2" xfId="16728"/>
    <cellStyle name="Normal 2 4 4 7" xfId="10940"/>
    <cellStyle name="Normal 2 4 4 7 2" xfId="19218"/>
    <cellStyle name="Normal 2 4 4 8" xfId="5454"/>
    <cellStyle name="Normal 2 4 4 9" xfId="13754"/>
    <cellStyle name="Normal 2 4 5" xfId="2402"/>
    <cellStyle name="Normal 2 4 5 2" xfId="2403"/>
    <cellStyle name="Normal 2 4 5 2 2" xfId="8454"/>
    <cellStyle name="Normal 2 4 5 2 2 2" xfId="16734"/>
    <cellStyle name="Normal 2 4 5 2 3" xfId="10946"/>
    <cellStyle name="Normal 2 4 5 2 3 2" xfId="19224"/>
    <cellStyle name="Normal 2 4 5 2 4" xfId="5460"/>
    <cellStyle name="Normal 2 4 5 2 5" xfId="13760"/>
    <cellStyle name="Normal 2 4 5 3" xfId="8453"/>
    <cellStyle name="Normal 2 4 5 3 2" xfId="16733"/>
    <cellStyle name="Normal 2 4 5 4" xfId="10945"/>
    <cellStyle name="Normal 2 4 5 4 2" xfId="19223"/>
    <cellStyle name="Normal 2 4 5 5" xfId="5459"/>
    <cellStyle name="Normal 2 4 5 6" xfId="13759"/>
    <cellStyle name="Normal 2 4 6" xfId="2404"/>
    <cellStyle name="Normal 2 4 6 2" xfId="2405"/>
    <cellStyle name="Normal 2 4 6 2 2" xfId="8456"/>
    <cellStyle name="Normal 2 4 6 2 2 2" xfId="16736"/>
    <cellStyle name="Normal 2 4 6 2 3" xfId="10948"/>
    <cellStyle name="Normal 2 4 6 2 3 2" xfId="19226"/>
    <cellStyle name="Normal 2 4 6 2 4" xfId="5462"/>
    <cellStyle name="Normal 2 4 6 2 5" xfId="13762"/>
    <cellStyle name="Normal 2 4 6 3" xfId="8455"/>
    <cellStyle name="Normal 2 4 6 3 2" xfId="16735"/>
    <cellStyle name="Normal 2 4 6 4" xfId="10947"/>
    <cellStyle name="Normal 2 4 6 4 2" xfId="19225"/>
    <cellStyle name="Normal 2 4 6 5" xfId="5461"/>
    <cellStyle name="Normal 2 4 6 6" xfId="13761"/>
    <cellStyle name="Normal 2 4 7" xfId="2406"/>
    <cellStyle name="Normal 2 4 7 2" xfId="8457"/>
    <cellStyle name="Normal 2 4 7 2 2" xfId="16737"/>
    <cellStyle name="Normal 2 4 7 3" xfId="10949"/>
    <cellStyle name="Normal 2 4 7 3 2" xfId="19227"/>
    <cellStyle name="Normal 2 4 7 4" xfId="5463"/>
    <cellStyle name="Normal 2 4 7 5" xfId="13763"/>
    <cellStyle name="Normal 2 4 8" xfId="2407"/>
    <cellStyle name="Normal 2 4 8 2" xfId="8458"/>
    <cellStyle name="Normal 2 4 8 2 2" xfId="16738"/>
    <cellStyle name="Normal 2 4 8 3" xfId="10950"/>
    <cellStyle name="Normal 2 4 8 3 2" xfId="19228"/>
    <cellStyle name="Normal 2 4 8 4" xfId="5464"/>
    <cellStyle name="Normal 2 4 8 5" xfId="13764"/>
    <cellStyle name="Normal 2 4 9" xfId="5695"/>
    <cellStyle name="Normal 2 4 9 2" xfId="13981"/>
    <cellStyle name="Normal 2 5" xfId="2408"/>
    <cellStyle name="Normal 2 5 10" xfId="13765"/>
    <cellStyle name="Normal 2 5 2" xfId="2409"/>
    <cellStyle name="Normal 2 5 2 2" xfId="2410"/>
    <cellStyle name="Normal 2 5 2 2 2" xfId="8461"/>
    <cellStyle name="Normal 2 5 2 2 2 2" xfId="16741"/>
    <cellStyle name="Normal 2 5 2 2 3" xfId="10953"/>
    <cellStyle name="Normal 2 5 2 2 3 2" xfId="19231"/>
    <cellStyle name="Normal 2 5 2 2 4" xfId="5467"/>
    <cellStyle name="Normal 2 5 2 2 5" xfId="13767"/>
    <cellStyle name="Normal 2 5 2 3" xfId="8460"/>
    <cellStyle name="Normal 2 5 2 3 2" xfId="16740"/>
    <cellStyle name="Normal 2 5 2 4" xfId="10952"/>
    <cellStyle name="Normal 2 5 2 4 2" xfId="19230"/>
    <cellStyle name="Normal 2 5 2 5" xfId="5466"/>
    <cellStyle name="Normal 2 5 2 6" xfId="13766"/>
    <cellStyle name="Normal 2 5 3" xfId="2411"/>
    <cellStyle name="Normal 2 5 3 2" xfId="2412"/>
    <cellStyle name="Normal 2 5 3 2 2" xfId="8463"/>
    <cellStyle name="Normal 2 5 3 2 2 2" xfId="16743"/>
    <cellStyle name="Normal 2 5 3 2 3" xfId="10955"/>
    <cellStyle name="Normal 2 5 3 2 3 2" xfId="19233"/>
    <cellStyle name="Normal 2 5 3 2 4" xfId="5469"/>
    <cellStyle name="Normal 2 5 3 2 5" xfId="13769"/>
    <cellStyle name="Normal 2 5 3 3" xfId="8462"/>
    <cellStyle name="Normal 2 5 3 3 2" xfId="16742"/>
    <cellStyle name="Normal 2 5 3 4" xfId="10954"/>
    <cellStyle name="Normal 2 5 3 4 2" xfId="19232"/>
    <cellStyle name="Normal 2 5 3 5" xfId="5468"/>
    <cellStyle name="Normal 2 5 3 6" xfId="13768"/>
    <cellStyle name="Normal 2 5 4" xfId="2413"/>
    <cellStyle name="Normal 2 5 4 2" xfId="8464"/>
    <cellStyle name="Normal 2 5 4 2 2" xfId="16744"/>
    <cellStyle name="Normal 2 5 4 3" xfId="10956"/>
    <cellStyle name="Normal 2 5 4 3 2" xfId="19234"/>
    <cellStyle name="Normal 2 5 4 4" xfId="5470"/>
    <cellStyle name="Normal 2 5 4 5" xfId="13770"/>
    <cellStyle name="Normal 2 5 5" xfId="2414"/>
    <cellStyle name="Normal 2 5 5 2" xfId="8465"/>
    <cellStyle name="Normal 2 5 5 2 2" xfId="16745"/>
    <cellStyle name="Normal 2 5 5 3" xfId="10957"/>
    <cellStyle name="Normal 2 5 5 3 2" xfId="19235"/>
    <cellStyle name="Normal 2 5 5 4" xfId="5471"/>
    <cellStyle name="Normal 2 5 5 5" xfId="13771"/>
    <cellStyle name="Normal 2 5 6" xfId="5752"/>
    <cellStyle name="Normal 2 5 6 2" xfId="14037"/>
    <cellStyle name="Normal 2 5 7" xfId="8459"/>
    <cellStyle name="Normal 2 5 7 2" xfId="16739"/>
    <cellStyle name="Normal 2 5 8" xfId="10951"/>
    <cellStyle name="Normal 2 5 8 2" xfId="19229"/>
    <cellStyle name="Normal 2 5 9" xfId="5465"/>
    <cellStyle name="Normal 2 6" xfId="2415"/>
    <cellStyle name="Normal 2 6 10" xfId="13772"/>
    <cellStyle name="Normal 2 6 2" xfId="2416"/>
    <cellStyle name="Normal 2 6 2 2" xfId="2417"/>
    <cellStyle name="Normal 2 6 2 2 2" xfId="8468"/>
    <cellStyle name="Normal 2 6 2 2 2 2" xfId="16748"/>
    <cellStyle name="Normal 2 6 2 2 3" xfId="10960"/>
    <cellStyle name="Normal 2 6 2 2 3 2" xfId="19238"/>
    <cellStyle name="Normal 2 6 2 2 4" xfId="5474"/>
    <cellStyle name="Normal 2 6 2 2 5" xfId="13774"/>
    <cellStyle name="Normal 2 6 2 3" xfId="8467"/>
    <cellStyle name="Normal 2 6 2 3 2" xfId="16747"/>
    <cellStyle name="Normal 2 6 2 4" xfId="10959"/>
    <cellStyle name="Normal 2 6 2 4 2" xfId="19237"/>
    <cellStyle name="Normal 2 6 2 5" xfId="5473"/>
    <cellStyle name="Normal 2 6 2 6" xfId="13773"/>
    <cellStyle name="Normal 2 6 3" xfId="2418"/>
    <cellStyle name="Normal 2 6 3 2" xfId="2419"/>
    <cellStyle name="Normal 2 6 3 2 2" xfId="8470"/>
    <cellStyle name="Normal 2 6 3 2 2 2" xfId="16750"/>
    <cellStyle name="Normal 2 6 3 2 3" xfId="10962"/>
    <cellStyle name="Normal 2 6 3 2 3 2" xfId="19240"/>
    <cellStyle name="Normal 2 6 3 2 4" xfId="5476"/>
    <cellStyle name="Normal 2 6 3 2 5" xfId="13776"/>
    <cellStyle name="Normal 2 6 3 3" xfId="8469"/>
    <cellStyle name="Normal 2 6 3 3 2" xfId="16749"/>
    <cellStyle name="Normal 2 6 3 4" xfId="10961"/>
    <cellStyle name="Normal 2 6 3 4 2" xfId="19239"/>
    <cellStyle name="Normal 2 6 3 5" xfId="5475"/>
    <cellStyle name="Normal 2 6 3 6" xfId="13775"/>
    <cellStyle name="Normal 2 6 4" xfId="2420"/>
    <cellStyle name="Normal 2 6 4 2" xfId="8471"/>
    <cellStyle name="Normal 2 6 4 2 2" xfId="16751"/>
    <cellStyle name="Normal 2 6 4 3" xfId="10963"/>
    <cellStyle name="Normal 2 6 4 3 2" xfId="19241"/>
    <cellStyle name="Normal 2 6 4 4" xfId="5477"/>
    <cellStyle name="Normal 2 6 4 5" xfId="13777"/>
    <cellStyle name="Normal 2 6 5" xfId="2421"/>
    <cellStyle name="Normal 2 6 5 2" xfId="8472"/>
    <cellStyle name="Normal 2 6 5 2 2" xfId="16752"/>
    <cellStyle name="Normal 2 6 5 3" xfId="10964"/>
    <cellStyle name="Normal 2 6 5 3 2" xfId="19242"/>
    <cellStyle name="Normal 2 6 5 4" xfId="5478"/>
    <cellStyle name="Normal 2 6 5 5" xfId="13778"/>
    <cellStyle name="Normal 2 6 6" xfId="5841"/>
    <cellStyle name="Normal 2 6 6 2" xfId="14123"/>
    <cellStyle name="Normal 2 6 7" xfId="8466"/>
    <cellStyle name="Normal 2 6 7 2" xfId="16746"/>
    <cellStyle name="Normal 2 6 8" xfId="10958"/>
    <cellStyle name="Normal 2 6 8 2" xfId="19236"/>
    <cellStyle name="Normal 2 6 9" xfId="5472"/>
    <cellStyle name="Normal 2 7" xfId="2422"/>
    <cellStyle name="Normal 2 7 10" xfId="13779"/>
    <cellStyle name="Normal 2 7 2" xfId="2423"/>
    <cellStyle name="Normal 2 7 2 2" xfId="2424"/>
    <cellStyle name="Normal 2 7 2 2 2" xfId="8475"/>
    <cellStyle name="Normal 2 7 2 2 2 2" xfId="16755"/>
    <cellStyle name="Normal 2 7 2 2 3" xfId="10967"/>
    <cellStyle name="Normal 2 7 2 2 3 2" xfId="19245"/>
    <cellStyle name="Normal 2 7 2 2 4" xfId="5481"/>
    <cellStyle name="Normal 2 7 2 2 5" xfId="13781"/>
    <cellStyle name="Normal 2 7 2 3" xfId="8474"/>
    <cellStyle name="Normal 2 7 2 3 2" xfId="16754"/>
    <cellStyle name="Normal 2 7 2 4" xfId="10966"/>
    <cellStyle name="Normal 2 7 2 4 2" xfId="19244"/>
    <cellStyle name="Normal 2 7 2 5" xfId="5480"/>
    <cellStyle name="Normal 2 7 2 6" xfId="13780"/>
    <cellStyle name="Normal 2 7 3" xfId="2425"/>
    <cellStyle name="Normal 2 7 3 2" xfId="2426"/>
    <cellStyle name="Normal 2 7 3 2 2" xfId="8477"/>
    <cellStyle name="Normal 2 7 3 2 2 2" xfId="16757"/>
    <cellStyle name="Normal 2 7 3 2 3" xfId="10969"/>
    <cellStyle name="Normal 2 7 3 2 3 2" xfId="19247"/>
    <cellStyle name="Normal 2 7 3 2 4" xfId="5483"/>
    <cellStyle name="Normal 2 7 3 2 5" xfId="13783"/>
    <cellStyle name="Normal 2 7 3 3" xfId="8476"/>
    <cellStyle name="Normal 2 7 3 3 2" xfId="16756"/>
    <cellStyle name="Normal 2 7 3 4" xfId="10968"/>
    <cellStyle name="Normal 2 7 3 4 2" xfId="19246"/>
    <cellStyle name="Normal 2 7 3 5" xfId="5482"/>
    <cellStyle name="Normal 2 7 3 6" xfId="13782"/>
    <cellStyle name="Normal 2 7 4" xfId="2427"/>
    <cellStyle name="Normal 2 7 4 2" xfId="8478"/>
    <cellStyle name="Normal 2 7 4 2 2" xfId="16758"/>
    <cellStyle name="Normal 2 7 4 3" xfId="10970"/>
    <cellStyle name="Normal 2 7 4 3 2" xfId="19248"/>
    <cellStyle name="Normal 2 7 4 4" xfId="5484"/>
    <cellStyle name="Normal 2 7 4 5" xfId="13784"/>
    <cellStyle name="Normal 2 7 5" xfId="2428"/>
    <cellStyle name="Normal 2 7 5 2" xfId="8479"/>
    <cellStyle name="Normal 2 7 5 2 2" xfId="16759"/>
    <cellStyle name="Normal 2 7 5 3" xfId="10971"/>
    <cellStyle name="Normal 2 7 5 3 2" xfId="19249"/>
    <cellStyle name="Normal 2 7 5 4" xfId="5485"/>
    <cellStyle name="Normal 2 7 5 5" xfId="13785"/>
    <cellStyle name="Normal 2 7 6" xfId="5939"/>
    <cellStyle name="Normal 2 7 6 2" xfId="14221"/>
    <cellStyle name="Normal 2 7 7" xfId="8473"/>
    <cellStyle name="Normal 2 7 7 2" xfId="16753"/>
    <cellStyle name="Normal 2 7 8" xfId="10965"/>
    <cellStyle name="Normal 2 7 8 2" xfId="19243"/>
    <cellStyle name="Normal 2 7 9" xfId="5479"/>
    <cellStyle name="Normal 2 8" xfId="2429"/>
    <cellStyle name="Normal 2 8 2" xfId="2430"/>
    <cellStyle name="Normal 2 8 2 2" xfId="2431"/>
    <cellStyle name="Normal 2 8 2 2 2" xfId="8482"/>
    <cellStyle name="Normal 2 8 2 2 2 2" xfId="16762"/>
    <cellStyle name="Normal 2 8 2 2 3" xfId="10974"/>
    <cellStyle name="Normal 2 8 2 2 3 2" xfId="19252"/>
    <cellStyle name="Normal 2 8 2 2 4" xfId="5488"/>
    <cellStyle name="Normal 2 8 2 2 5" xfId="13788"/>
    <cellStyle name="Normal 2 8 2 3" xfId="8481"/>
    <cellStyle name="Normal 2 8 2 3 2" xfId="16761"/>
    <cellStyle name="Normal 2 8 2 4" xfId="10973"/>
    <cellStyle name="Normal 2 8 2 4 2" xfId="19251"/>
    <cellStyle name="Normal 2 8 2 5" xfId="5487"/>
    <cellStyle name="Normal 2 8 2 6" xfId="13787"/>
    <cellStyle name="Normal 2 8 3" xfId="2432"/>
    <cellStyle name="Normal 2 8 3 2" xfId="8483"/>
    <cellStyle name="Normal 2 8 3 2 2" xfId="16763"/>
    <cellStyle name="Normal 2 8 3 3" xfId="10975"/>
    <cellStyle name="Normal 2 8 3 3 2" xfId="19253"/>
    <cellStyle name="Normal 2 8 3 4" xfId="5489"/>
    <cellStyle name="Normal 2 8 3 5" xfId="13789"/>
    <cellStyle name="Normal 2 8 4" xfId="2433"/>
    <cellStyle name="Normal 2 8 4 2" xfId="8484"/>
    <cellStyle name="Normal 2 8 4 2 2" xfId="16764"/>
    <cellStyle name="Normal 2 8 4 3" xfId="10976"/>
    <cellStyle name="Normal 2 8 4 3 2" xfId="19254"/>
    <cellStyle name="Normal 2 8 4 4" xfId="5490"/>
    <cellStyle name="Normal 2 8 4 5" xfId="13790"/>
    <cellStyle name="Normal 2 8 5" xfId="5723"/>
    <cellStyle name="Normal 2 8 5 2" xfId="14009"/>
    <cellStyle name="Normal 2 8 6" xfId="8480"/>
    <cellStyle name="Normal 2 8 6 2" xfId="16760"/>
    <cellStyle name="Normal 2 8 7" xfId="10972"/>
    <cellStyle name="Normal 2 8 7 2" xfId="19250"/>
    <cellStyle name="Normal 2 8 8" xfId="5486"/>
    <cellStyle name="Normal 2 8 9" xfId="13786"/>
    <cellStyle name="Normal 2 9" xfId="2434"/>
    <cellStyle name="Normal 2 9 2" xfId="2435"/>
    <cellStyle name="Normal 2 9 2 2" xfId="8486"/>
    <cellStyle name="Normal 2 9 2 2 2" xfId="16766"/>
    <cellStyle name="Normal 2 9 2 3" xfId="10978"/>
    <cellStyle name="Normal 2 9 2 3 2" xfId="19256"/>
    <cellStyle name="Normal 2 9 2 4" xfId="5492"/>
    <cellStyle name="Normal 2 9 2 5" xfId="13792"/>
    <cellStyle name="Normal 2 9 3" xfId="8485"/>
    <cellStyle name="Normal 2 9 3 2" xfId="16765"/>
    <cellStyle name="Normal 2 9 4" xfId="10977"/>
    <cellStyle name="Normal 2 9 4 2" xfId="19255"/>
    <cellStyle name="Normal 2 9 5" xfId="5491"/>
    <cellStyle name="Normal 2 9 6" xfId="13791"/>
    <cellStyle name="Normal 3" xfId="2436"/>
    <cellStyle name="Normal 3 2" xfId="2437"/>
    <cellStyle name="Normal 3 2 10" xfId="8487"/>
    <cellStyle name="Normal 3 2 10 2" xfId="16767"/>
    <cellStyle name="Normal 3 2 11" xfId="10979"/>
    <cellStyle name="Normal 3 2 11 2" xfId="19257"/>
    <cellStyle name="Normal 3 2 12" xfId="5494"/>
    <cellStyle name="Normal 3 2 13" xfId="13793"/>
    <cellStyle name="Normal 3 2 2" xfId="2438"/>
    <cellStyle name="Normal 3 2 2 10" xfId="13794"/>
    <cellStyle name="Normal 3 2 2 2" xfId="2439"/>
    <cellStyle name="Normal 3 2 2 2 2" xfId="2440"/>
    <cellStyle name="Normal 3 2 2 2 2 2" xfId="8490"/>
    <cellStyle name="Normal 3 2 2 2 2 2 2" xfId="16770"/>
    <cellStyle name="Normal 3 2 2 2 2 3" xfId="10982"/>
    <cellStyle name="Normal 3 2 2 2 2 3 2" xfId="19260"/>
    <cellStyle name="Normal 3 2 2 2 2 4" xfId="5497"/>
    <cellStyle name="Normal 3 2 2 2 2 5" xfId="13796"/>
    <cellStyle name="Normal 3 2 2 2 3" xfId="8489"/>
    <cellStyle name="Normal 3 2 2 2 3 2" xfId="16769"/>
    <cellStyle name="Normal 3 2 2 2 4" xfId="10981"/>
    <cellStyle name="Normal 3 2 2 2 4 2" xfId="19259"/>
    <cellStyle name="Normal 3 2 2 2 5" xfId="5496"/>
    <cellStyle name="Normal 3 2 2 2 6" xfId="13795"/>
    <cellStyle name="Normal 3 2 2 3" xfId="2441"/>
    <cellStyle name="Normal 3 2 2 3 2" xfId="2442"/>
    <cellStyle name="Normal 3 2 2 3 2 2" xfId="8492"/>
    <cellStyle name="Normal 3 2 2 3 2 2 2" xfId="16772"/>
    <cellStyle name="Normal 3 2 2 3 2 3" xfId="10984"/>
    <cellStyle name="Normal 3 2 2 3 2 3 2" xfId="19262"/>
    <cellStyle name="Normal 3 2 2 3 2 4" xfId="5499"/>
    <cellStyle name="Normal 3 2 2 3 2 5" xfId="13798"/>
    <cellStyle name="Normal 3 2 2 3 3" xfId="8491"/>
    <cellStyle name="Normal 3 2 2 3 3 2" xfId="16771"/>
    <cellStyle name="Normal 3 2 2 3 4" xfId="10983"/>
    <cellStyle name="Normal 3 2 2 3 4 2" xfId="19261"/>
    <cellStyle name="Normal 3 2 2 3 5" xfId="5498"/>
    <cellStyle name="Normal 3 2 2 3 6" xfId="13797"/>
    <cellStyle name="Normal 3 2 2 4" xfId="2443"/>
    <cellStyle name="Normal 3 2 2 4 2" xfId="8493"/>
    <cellStyle name="Normal 3 2 2 4 2 2" xfId="16773"/>
    <cellStyle name="Normal 3 2 2 4 3" xfId="10985"/>
    <cellStyle name="Normal 3 2 2 4 3 2" xfId="19263"/>
    <cellStyle name="Normal 3 2 2 4 4" xfId="5500"/>
    <cellStyle name="Normal 3 2 2 4 5" xfId="13799"/>
    <cellStyle name="Normal 3 2 2 5" xfId="2444"/>
    <cellStyle name="Normal 3 2 2 5 2" xfId="8494"/>
    <cellStyle name="Normal 3 2 2 5 2 2" xfId="16774"/>
    <cellStyle name="Normal 3 2 2 5 3" xfId="10986"/>
    <cellStyle name="Normal 3 2 2 5 3 2" xfId="19264"/>
    <cellStyle name="Normal 3 2 2 5 4" xfId="5501"/>
    <cellStyle name="Normal 3 2 2 5 5" xfId="13800"/>
    <cellStyle name="Normal 3 2 2 6" xfId="5871"/>
    <cellStyle name="Normal 3 2 2 6 2" xfId="14153"/>
    <cellStyle name="Normal 3 2 2 7" xfId="8488"/>
    <cellStyle name="Normal 3 2 2 7 2" xfId="16768"/>
    <cellStyle name="Normal 3 2 2 8" xfId="10980"/>
    <cellStyle name="Normal 3 2 2 8 2" xfId="19258"/>
    <cellStyle name="Normal 3 2 2 9" xfId="5495"/>
    <cellStyle name="Normal 3 2 3" xfId="2445"/>
    <cellStyle name="Normal 3 2 3 10" xfId="13801"/>
    <cellStyle name="Normal 3 2 3 2" xfId="2446"/>
    <cellStyle name="Normal 3 2 3 2 2" xfId="2447"/>
    <cellStyle name="Normal 3 2 3 2 2 2" xfId="8497"/>
    <cellStyle name="Normal 3 2 3 2 2 2 2" xfId="16777"/>
    <cellStyle name="Normal 3 2 3 2 2 3" xfId="10989"/>
    <cellStyle name="Normal 3 2 3 2 2 3 2" xfId="19267"/>
    <cellStyle name="Normal 3 2 3 2 2 4" xfId="5504"/>
    <cellStyle name="Normal 3 2 3 2 2 5" xfId="13803"/>
    <cellStyle name="Normal 3 2 3 2 3" xfId="8496"/>
    <cellStyle name="Normal 3 2 3 2 3 2" xfId="16776"/>
    <cellStyle name="Normal 3 2 3 2 4" xfId="10988"/>
    <cellStyle name="Normal 3 2 3 2 4 2" xfId="19266"/>
    <cellStyle name="Normal 3 2 3 2 5" xfId="5503"/>
    <cellStyle name="Normal 3 2 3 2 6" xfId="13802"/>
    <cellStyle name="Normal 3 2 3 3" xfId="2448"/>
    <cellStyle name="Normal 3 2 3 3 2" xfId="2449"/>
    <cellStyle name="Normal 3 2 3 3 2 2" xfId="8499"/>
    <cellStyle name="Normal 3 2 3 3 2 2 2" xfId="16779"/>
    <cellStyle name="Normal 3 2 3 3 2 3" xfId="10991"/>
    <cellStyle name="Normal 3 2 3 3 2 3 2" xfId="19269"/>
    <cellStyle name="Normal 3 2 3 3 2 4" xfId="5506"/>
    <cellStyle name="Normal 3 2 3 3 2 5" xfId="13805"/>
    <cellStyle name="Normal 3 2 3 3 3" xfId="8498"/>
    <cellStyle name="Normal 3 2 3 3 3 2" xfId="16778"/>
    <cellStyle name="Normal 3 2 3 3 4" xfId="10990"/>
    <cellStyle name="Normal 3 2 3 3 4 2" xfId="19268"/>
    <cellStyle name="Normal 3 2 3 3 5" xfId="5505"/>
    <cellStyle name="Normal 3 2 3 3 6" xfId="13804"/>
    <cellStyle name="Normal 3 2 3 4" xfId="2450"/>
    <cellStyle name="Normal 3 2 3 4 2" xfId="8500"/>
    <cellStyle name="Normal 3 2 3 4 2 2" xfId="16780"/>
    <cellStyle name="Normal 3 2 3 4 3" xfId="10992"/>
    <cellStyle name="Normal 3 2 3 4 3 2" xfId="19270"/>
    <cellStyle name="Normal 3 2 3 4 4" xfId="5507"/>
    <cellStyle name="Normal 3 2 3 4 5" xfId="13806"/>
    <cellStyle name="Normal 3 2 3 5" xfId="2451"/>
    <cellStyle name="Normal 3 2 3 5 2" xfId="8501"/>
    <cellStyle name="Normal 3 2 3 5 2 2" xfId="16781"/>
    <cellStyle name="Normal 3 2 3 5 3" xfId="10993"/>
    <cellStyle name="Normal 3 2 3 5 3 2" xfId="19271"/>
    <cellStyle name="Normal 3 2 3 5 4" xfId="5508"/>
    <cellStyle name="Normal 3 2 3 5 5" xfId="13807"/>
    <cellStyle name="Normal 3 2 3 6" xfId="5969"/>
    <cellStyle name="Normal 3 2 3 6 2" xfId="14251"/>
    <cellStyle name="Normal 3 2 3 7" xfId="8495"/>
    <cellStyle name="Normal 3 2 3 7 2" xfId="16775"/>
    <cellStyle name="Normal 3 2 3 8" xfId="10987"/>
    <cellStyle name="Normal 3 2 3 8 2" xfId="19265"/>
    <cellStyle name="Normal 3 2 3 9" xfId="5502"/>
    <cellStyle name="Normal 3 2 4" xfId="2452"/>
    <cellStyle name="Normal 3 2 4 2" xfId="2453"/>
    <cellStyle name="Normal 3 2 4 2 2" xfId="2454"/>
    <cellStyle name="Normal 3 2 4 2 2 2" xfId="8504"/>
    <cellStyle name="Normal 3 2 4 2 2 2 2" xfId="16784"/>
    <cellStyle name="Normal 3 2 4 2 2 3" xfId="10996"/>
    <cellStyle name="Normal 3 2 4 2 2 3 2" xfId="19274"/>
    <cellStyle name="Normal 3 2 4 2 2 4" xfId="5511"/>
    <cellStyle name="Normal 3 2 4 2 2 5" xfId="13810"/>
    <cellStyle name="Normal 3 2 4 2 3" xfId="8503"/>
    <cellStyle name="Normal 3 2 4 2 3 2" xfId="16783"/>
    <cellStyle name="Normal 3 2 4 2 4" xfId="10995"/>
    <cellStyle name="Normal 3 2 4 2 4 2" xfId="19273"/>
    <cellStyle name="Normal 3 2 4 2 5" xfId="5510"/>
    <cellStyle name="Normal 3 2 4 2 6" xfId="13809"/>
    <cellStyle name="Normal 3 2 4 3" xfId="2455"/>
    <cellStyle name="Normal 3 2 4 3 2" xfId="8505"/>
    <cellStyle name="Normal 3 2 4 3 2 2" xfId="16785"/>
    <cellStyle name="Normal 3 2 4 3 3" xfId="10997"/>
    <cellStyle name="Normal 3 2 4 3 3 2" xfId="19275"/>
    <cellStyle name="Normal 3 2 4 3 4" xfId="5512"/>
    <cellStyle name="Normal 3 2 4 3 5" xfId="13811"/>
    <cellStyle name="Normal 3 2 4 4" xfId="2456"/>
    <cellStyle name="Normal 3 2 4 4 2" xfId="8506"/>
    <cellStyle name="Normal 3 2 4 4 2 2" xfId="16786"/>
    <cellStyle name="Normal 3 2 4 4 3" xfId="10998"/>
    <cellStyle name="Normal 3 2 4 4 3 2" xfId="19276"/>
    <cellStyle name="Normal 3 2 4 4 4" xfId="5513"/>
    <cellStyle name="Normal 3 2 4 4 5" xfId="13812"/>
    <cellStyle name="Normal 3 2 4 5" xfId="5785"/>
    <cellStyle name="Normal 3 2 4 5 2" xfId="14067"/>
    <cellStyle name="Normal 3 2 4 6" xfId="8502"/>
    <cellStyle name="Normal 3 2 4 6 2" xfId="16782"/>
    <cellStyle name="Normal 3 2 4 7" xfId="10994"/>
    <cellStyle name="Normal 3 2 4 7 2" xfId="19272"/>
    <cellStyle name="Normal 3 2 4 8" xfId="5509"/>
    <cellStyle name="Normal 3 2 4 9" xfId="13808"/>
    <cellStyle name="Normal 3 2 5" xfId="2457"/>
    <cellStyle name="Normal 3 2 5 2" xfId="2458"/>
    <cellStyle name="Normal 3 2 5 2 2" xfId="8508"/>
    <cellStyle name="Normal 3 2 5 2 2 2" xfId="16788"/>
    <cellStyle name="Normal 3 2 5 2 3" xfId="11000"/>
    <cellStyle name="Normal 3 2 5 2 3 2" xfId="19278"/>
    <cellStyle name="Normal 3 2 5 2 4" xfId="5515"/>
    <cellStyle name="Normal 3 2 5 2 5" xfId="13814"/>
    <cellStyle name="Normal 3 2 5 3" xfId="8507"/>
    <cellStyle name="Normal 3 2 5 3 2" xfId="16787"/>
    <cellStyle name="Normal 3 2 5 4" xfId="10999"/>
    <cellStyle name="Normal 3 2 5 4 2" xfId="19277"/>
    <cellStyle name="Normal 3 2 5 5" xfId="5514"/>
    <cellStyle name="Normal 3 2 5 6" xfId="13813"/>
    <cellStyle name="Normal 3 2 6" xfId="2459"/>
    <cellStyle name="Normal 3 2 6 2" xfId="2460"/>
    <cellStyle name="Normal 3 2 6 2 2" xfId="8510"/>
    <cellStyle name="Normal 3 2 6 2 2 2" xfId="16790"/>
    <cellStyle name="Normal 3 2 6 2 3" xfId="11002"/>
    <cellStyle name="Normal 3 2 6 2 3 2" xfId="19280"/>
    <cellStyle name="Normal 3 2 6 2 4" xfId="5517"/>
    <cellStyle name="Normal 3 2 6 2 5" xfId="13816"/>
    <cellStyle name="Normal 3 2 6 3" xfId="8509"/>
    <cellStyle name="Normal 3 2 6 3 2" xfId="16789"/>
    <cellStyle name="Normal 3 2 6 4" xfId="11001"/>
    <cellStyle name="Normal 3 2 6 4 2" xfId="19279"/>
    <cellStyle name="Normal 3 2 6 5" xfId="5516"/>
    <cellStyle name="Normal 3 2 6 6" xfId="13815"/>
    <cellStyle name="Normal 3 2 7" xfId="2461"/>
    <cellStyle name="Normal 3 2 7 2" xfId="8511"/>
    <cellStyle name="Normal 3 2 7 2 2" xfId="16791"/>
    <cellStyle name="Normal 3 2 7 3" xfId="11003"/>
    <cellStyle name="Normal 3 2 7 3 2" xfId="19281"/>
    <cellStyle name="Normal 3 2 7 4" xfId="5518"/>
    <cellStyle name="Normal 3 2 7 5" xfId="13817"/>
    <cellStyle name="Normal 3 2 8" xfId="2462"/>
    <cellStyle name="Normal 3 2 8 2" xfId="8512"/>
    <cellStyle name="Normal 3 2 8 2 2" xfId="16792"/>
    <cellStyle name="Normal 3 2 8 3" xfId="11004"/>
    <cellStyle name="Normal 3 2 8 3 2" xfId="19282"/>
    <cellStyle name="Normal 3 2 8 4" xfId="5519"/>
    <cellStyle name="Normal 3 2 8 5" xfId="13818"/>
    <cellStyle name="Normal 3 2 9" xfId="5669"/>
    <cellStyle name="Normal 3 2 9 2" xfId="13955"/>
    <cellStyle name="Normal 3 3" xfId="2463"/>
    <cellStyle name="Normal 3 3 10" xfId="8513"/>
    <cellStyle name="Normal 3 3 10 2" xfId="16793"/>
    <cellStyle name="Normal 3 3 11" xfId="11005"/>
    <cellStyle name="Normal 3 3 11 2" xfId="19283"/>
    <cellStyle name="Normal 3 3 12" xfId="5520"/>
    <cellStyle name="Normal 3 3 13" xfId="13819"/>
    <cellStyle name="Normal 3 3 2" xfId="2464"/>
    <cellStyle name="Normal 3 3 2 10" xfId="13820"/>
    <cellStyle name="Normal 3 3 2 2" xfId="2465"/>
    <cellStyle name="Normal 3 3 2 2 2" xfId="2466"/>
    <cellStyle name="Normal 3 3 2 2 2 2" xfId="8516"/>
    <cellStyle name="Normal 3 3 2 2 2 2 2" xfId="16796"/>
    <cellStyle name="Normal 3 3 2 2 2 3" xfId="11008"/>
    <cellStyle name="Normal 3 3 2 2 2 3 2" xfId="19286"/>
    <cellStyle name="Normal 3 3 2 2 2 4" xfId="5523"/>
    <cellStyle name="Normal 3 3 2 2 2 5" xfId="13822"/>
    <cellStyle name="Normal 3 3 2 2 3" xfId="8515"/>
    <cellStyle name="Normal 3 3 2 2 3 2" xfId="16795"/>
    <cellStyle name="Normal 3 3 2 2 4" xfId="11007"/>
    <cellStyle name="Normal 3 3 2 2 4 2" xfId="19285"/>
    <cellStyle name="Normal 3 3 2 2 5" xfId="5522"/>
    <cellStyle name="Normal 3 3 2 2 6" xfId="13821"/>
    <cellStyle name="Normal 3 3 2 3" xfId="2467"/>
    <cellStyle name="Normal 3 3 2 3 2" xfId="2468"/>
    <cellStyle name="Normal 3 3 2 3 2 2" xfId="8518"/>
    <cellStyle name="Normal 3 3 2 3 2 2 2" xfId="16798"/>
    <cellStyle name="Normal 3 3 2 3 2 3" xfId="11010"/>
    <cellStyle name="Normal 3 3 2 3 2 3 2" xfId="19288"/>
    <cellStyle name="Normal 3 3 2 3 2 4" xfId="5525"/>
    <cellStyle name="Normal 3 3 2 3 2 5" xfId="13824"/>
    <cellStyle name="Normal 3 3 2 3 3" xfId="8517"/>
    <cellStyle name="Normal 3 3 2 3 3 2" xfId="16797"/>
    <cellStyle name="Normal 3 3 2 3 4" xfId="11009"/>
    <cellStyle name="Normal 3 3 2 3 4 2" xfId="19287"/>
    <cellStyle name="Normal 3 3 2 3 5" xfId="5524"/>
    <cellStyle name="Normal 3 3 2 3 6" xfId="13823"/>
    <cellStyle name="Normal 3 3 2 4" xfId="2469"/>
    <cellStyle name="Normal 3 3 2 4 2" xfId="8519"/>
    <cellStyle name="Normal 3 3 2 4 2 2" xfId="16799"/>
    <cellStyle name="Normal 3 3 2 4 3" xfId="11011"/>
    <cellStyle name="Normal 3 3 2 4 3 2" xfId="19289"/>
    <cellStyle name="Normal 3 3 2 4 4" xfId="5526"/>
    <cellStyle name="Normal 3 3 2 4 5" xfId="13825"/>
    <cellStyle name="Normal 3 3 2 5" xfId="2470"/>
    <cellStyle name="Normal 3 3 2 5 2" xfId="8520"/>
    <cellStyle name="Normal 3 3 2 5 2 2" xfId="16800"/>
    <cellStyle name="Normal 3 3 2 5 3" xfId="11012"/>
    <cellStyle name="Normal 3 3 2 5 3 2" xfId="19290"/>
    <cellStyle name="Normal 3 3 2 5 4" xfId="5527"/>
    <cellStyle name="Normal 3 3 2 5 5" xfId="13826"/>
    <cellStyle name="Normal 3 3 2 6" xfId="5899"/>
    <cellStyle name="Normal 3 3 2 6 2" xfId="14181"/>
    <cellStyle name="Normal 3 3 2 7" xfId="8514"/>
    <cellStyle name="Normal 3 3 2 7 2" xfId="16794"/>
    <cellStyle name="Normal 3 3 2 8" xfId="11006"/>
    <cellStyle name="Normal 3 3 2 8 2" xfId="19284"/>
    <cellStyle name="Normal 3 3 2 9" xfId="5521"/>
    <cellStyle name="Normal 3 3 3" xfId="2471"/>
    <cellStyle name="Normal 3 3 3 10" xfId="13827"/>
    <cellStyle name="Normal 3 3 3 2" xfId="2472"/>
    <cellStyle name="Normal 3 3 3 2 2" xfId="2473"/>
    <cellStyle name="Normal 3 3 3 2 2 2" xfId="8523"/>
    <cellStyle name="Normal 3 3 3 2 2 2 2" xfId="16803"/>
    <cellStyle name="Normal 3 3 3 2 2 3" xfId="11015"/>
    <cellStyle name="Normal 3 3 3 2 2 3 2" xfId="19293"/>
    <cellStyle name="Normal 3 3 3 2 2 4" xfId="5530"/>
    <cellStyle name="Normal 3 3 3 2 2 5" xfId="13829"/>
    <cellStyle name="Normal 3 3 3 2 3" xfId="8522"/>
    <cellStyle name="Normal 3 3 3 2 3 2" xfId="16802"/>
    <cellStyle name="Normal 3 3 3 2 4" xfId="11014"/>
    <cellStyle name="Normal 3 3 3 2 4 2" xfId="19292"/>
    <cellStyle name="Normal 3 3 3 2 5" xfId="5529"/>
    <cellStyle name="Normal 3 3 3 2 6" xfId="13828"/>
    <cellStyle name="Normal 3 3 3 3" xfId="2474"/>
    <cellStyle name="Normal 3 3 3 3 2" xfId="2475"/>
    <cellStyle name="Normal 3 3 3 3 2 2" xfId="8525"/>
    <cellStyle name="Normal 3 3 3 3 2 2 2" xfId="16805"/>
    <cellStyle name="Normal 3 3 3 3 2 3" xfId="11017"/>
    <cellStyle name="Normal 3 3 3 3 2 3 2" xfId="19295"/>
    <cellStyle name="Normal 3 3 3 3 2 4" xfId="5532"/>
    <cellStyle name="Normal 3 3 3 3 2 5" xfId="13831"/>
    <cellStyle name="Normal 3 3 3 3 3" xfId="8524"/>
    <cellStyle name="Normal 3 3 3 3 3 2" xfId="16804"/>
    <cellStyle name="Normal 3 3 3 3 4" xfId="11016"/>
    <cellStyle name="Normal 3 3 3 3 4 2" xfId="19294"/>
    <cellStyle name="Normal 3 3 3 3 5" xfId="5531"/>
    <cellStyle name="Normal 3 3 3 3 6" xfId="13830"/>
    <cellStyle name="Normal 3 3 3 4" xfId="2476"/>
    <cellStyle name="Normal 3 3 3 4 2" xfId="8526"/>
    <cellStyle name="Normal 3 3 3 4 2 2" xfId="16806"/>
    <cellStyle name="Normal 3 3 3 4 3" xfId="11018"/>
    <cellStyle name="Normal 3 3 3 4 3 2" xfId="19296"/>
    <cellStyle name="Normal 3 3 3 4 4" xfId="5533"/>
    <cellStyle name="Normal 3 3 3 4 5" xfId="13832"/>
    <cellStyle name="Normal 3 3 3 5" xfId="2477"/>
    <cellStyle name="Normal 3 3 3 5 2" xfId="8527"/>
    <cellStyle name="Normal 3 3 3 5 2 2" xfId="16807"/>
    <cellStyle name="Normal 3 3 3 5 3" xfId="11019"/>
    <cellStyle name="Normal 3 3 3 5 3 2" xfId="19297"/>
    <cellStyle name="Normal 3 3 3 5 4" xfId="5534"/>
    <cellStyle name="Normal 3 3 3 5 5" xfId="13833"/>
    <cellStyle name="Normal 3 3 3 6" xfId="5997"/>
    <cellStyle name="Normal 3 3 3 6 2" xfId="14279"/>
    <cellStyle name="Normal 3 3 3 7" xfId="8521"/>
    <cellStyle name="Normal 3 3 3 7 2" xfId="16801"/>
    <cellStyle name="Normal 3 3 3 8" xfId="11013"/>
    <cellStyle name="Normal 3 3 3 8 2" xfId="19291"/>
    <cellStyle name="Normal 3 3 3 9" xfId="5528"/>
    <cellStyle name="Normal 3 3 4" xfId="2478"/>
    <cellStyle name="Normal 3 3 4 2" xfId="2479"/>
    <cellStyle name="Normal 3 3 4 2 2" xfId="2480"/>
    <cellStyle name="Normal 3 3 4 2 2 2" xfId="8530"/>
    <cellStyle name="Normal 3 3 4 2 2 2 2" xfId="16810"/>
    <cellStyle name="Normal 3 3 4 2 2 3" xfId="11022"/>
    <cellStyle name="Normal 3 3 4 2 2 3 2" xfId="19300"/>
    <cellStyle name="Normal 3 3 4 2 2 4" xfId="5537"/>
    <cellStyle name="Normal 3 3 4 2 2 5" xfId="13836"/>
    <cellStyle name="Normal 3 3 4 2 3" xfId="8529"/>
    <cellStyle name="Normal 3 3 4 2 3 2" xfId="16809"/>
    <cellStyle name="Normal 3 3 4 2 4" xfId="11021"/>
    <cellStyle name="Normal 3 3 4 2 4 2" xfId="19299"/>
    <cellStyle name="Normal 3 3 4 2 5" xfId="5536"/>
    <cellStyle name="Normal 3 3 4 2 6" xfId="13835"/>
    <cellStyle name="Normal 3 3 4 3" xfId="2481"/>
    <cellStyle name="Normal 3 3 4 3 2" xfId="8531"/>
    <cellStyle name="Normal 3 3 4 3 2 2" xfId="16811"/>
    <cellStyle name="Normal 3 3 4 3 3" xfId="11023"/>
    <cellStyle name="Normal 3 3 4 3 3 2" xfId="19301"/>
    <cellStyle name="Normal 3 3 4 3 4" xfId="5538"/>
    <cellStyle name="Normal 3 3 4 3 5" xfId="13837"/>
    <cellStyle name="Normal 3 3 4 4" xfId="2482"/>
    <cellStyle name="Normal 3 3 4 4 2" xfId="8532"/>
    <cellStyle name="Normal 3 3 4 4 2 2" xfId="16812"/>
    <cellStyle name="Normal 3 3 4 4 3" xfId="11024"/>
    <cellStyle name="Normal 3 3 4 4 3 2" xfId="19302"/>
    <cellStyle name="Normal 3 3 4 4 4" xfId="5539"/>
    <cellStyle name="Normal 3 3 4 4 5" xfId="13838"/>
    <cellStyle name="Normal 3 3 4 5" xfId="5813"/>
    <cellStyle name="Normal 3 3 4 5 2" xfId="14095"/>
    <cellStyle name="Normal 3 3 4 6" xfId="8528"/>
    <cellStyle name="Normal 3 3 4 6 2" xfId="16808"/>
    <cellStyle name="Normal 3 3 4 7" xfId="11020"/>
    <cellStyle name="Normal 3 3 4 7 2" xfId="19298"/>
    <cellStyle name="Normal 3 3 4 8" xfId="5535"/>
    <cellStyle name="Normal 3 3 4 9" xfId="13834"/>
    <cellStyle name="Normal 3 3 5" xfId="2483"/>
    <cellStyle name="Normal 3 3 5 2" xfId="2484"/>
    <cellStyle name="Normal 3 3 5 2 2" xfId="8534"/>
    <cellStyle name="Normal 3 3 5 2 2 2" xfId="16814"/>
    <cellStyle name="Normal 3 3 5 2 3" xfId="11026"/>
    <cellStyle name="Normal 3 3 5 2 3 2" xfId="19304"/>
    <cellStyle name="Normal 3 3 5 2 4" xfId="5541"/>
    <cellStyle name="Normal 3 3 5 2 5" xfId="13840"/>
    <cellStyle name="Normal 3 3 5 3" xfId="8533"/>
    <cellStyle name="Normal 3 3 5 3 2" xfId="16813"/>
    <cellStyle name="Normal 3 3 5 4" xfId="11025"/>
    <cellStyle name="Normal 3 3 5 4 2" xfId="19303"/>
    <cellStyle name="Normal 3 3 5 5" xfId="5540"/>
    <cellStyle name="Normal 3 3 5 6" xfId="13839"/>
    <cellStyle name="Normal 3 3 6" xfId="2485"/>
    <cellStyle name="Normal 3 3 6 2" xfId="2486"/>
    <cellStyle name="Normal 3 3 6 2 2" xfId="8536"/>
    <cellStyle name="Normal 3 3 6 2 2 2" xfId="16816"/>
    <cellStyle name="Normal 3 3 6 2 3" xfId="11028"/>
    <cellStyle name="Normal 3 3 6 2 3 2" xfId="19306"/>
    <cellStyle name="Normal 3 3 6 2 4" xfId="5543"/>
    <cellStyle name="Normal 3 3 6 2 5" xfId="13842"/>
    <cellStyle name="Normal 3 3 6 3" xfId="8535"/>
    <cellStyle name="Normal 3 3 6 3 2" xfId="16815"/>
    <cellStyle name="Normal 3 3 6 4" xfId="11027"/>
    <cellStyle name="Normal 3 3 6 4 2" xfId="19305"/>
    <cellStyle name="Normal 3 3 6 5" xfId="5542"/>
    <cellStyle name="Normal 3 3 6 6" xfId="13841"/>
    <cellStyle name="Normal 3 3 7" xfId="2487"/>
    <cellStyle name="Normal 3 3 7 2" xfId="8537"/>
    <cellStyle name="Normal 3 3 7 2 2" xfId="16817"/>
    <cellStyle name="Normal 3 3 7 3" xfId="11029"/>
    <cellStyle name="Normal 3 3 7 3 2" xfId="19307"/>
    <cellStyle name="Normal 3 3 7 4" xfId="5544"/>
    <cellStyle name="Normal 3 3 7 5" xfId="13843"/>
    <cellStyle name="Normal 3 3 8" xfId="2488"/>
    <cellStyle name="Normal 3 3 8 2" xfId="8538"/>
    <cellStyle name="Normal 3 3 8 2 2" xfId="16818"/>
    <cellStyle name="Normal 3 3 8 3" xfId="11030"/>
    <cellStyle name="Normal 3 3 8 3 2" xfId="19308"/>
    <cellStyle name="Normal 3 3 8 4" xfId="5545"/>
    <cellStyle name="Normal 3 3 8 5" xfId="13844"/>
    <cellStyle name="Normal 3 3 9" xfId="5697"/>
    <cellStyle name="Normal 3 3 9 2" xfId="13983"/>
    <cellStyle name="Normal 3 4" xfId="2489"/>
    <cellStyle name="Normal 3 4 2" xfId="5754"/>
    <cellStyle name="Normal 3 4 3" xfId="5546"/>
    <cellStyle name="Normal 3 5" xfId="2490"/>
    <cellStyle name="Normal 3 5 2" xfId="2491"/>
    <cellStyle name="Normal 3 5 2 2" xfId="2492"/>
    <cellStyle name="Normal 3 5 2 2 2" xfId="8541"/>
    <cellStyle name="Normal 3 5 2 2 2 2" xfId="16821"/>
    <cellStyle name="Normal 3 5 2 2 3" xfId="11033"/>
    <cellStyle name="Normal 3 5 2 2 3 2" xfId="19311"/>
    <cellStyle name="Normal 3 5 2 2 4" xfId="5549"/>
    <cellStyle name="Normal 3 5 2 2 5" xfId="13847"/>
    <cellStyle name="Normal 3 5 2 3" xfId="8540"/>
    <cellStyle name="Normal 3 5 2 3 2" xfId="16820"/>
    <cellStyle name="Normal 3 5 2 4" xfId="11032"/>
    <cellStyle name="Normal 3 5 2 4 2" xfId="19310"/>
    <cellStyle name="Normal 3 5 2 5" xfId="5548"/>
    <cellStyle name="Normal 3 5 2 6" xfId="13846"/>
    <cellStyle name="Normal 3 5 3" xfId="2493"/>
    <cellStyle name="Normal 3 5 3 2" xfId="8542"/>
    <cellStyle name="Normal 3 5 3 2 2" xfId="16822"/>
    <cellStyle name="Normal 3 5 3 3" xfId="11034"/>
    <cellStyle name="Normal 3 5 3 3 2" xfId="19312"/>
    <cellStyle name="Normal 3 5 3 4" xfId="5550"/>
    <cellStyle name="Normal 3 5 3 5" xfId="13848"/>
    <cellStyle name="Normal 3 5 4" xfId="2494"/>
    <cellStyle name="Normal 3 5 4 2" xfId="8543"/>
    <cellStyle name="Normal 3 5 4 2 2" xfId="16823"/>
    <cellStyle name="Normal 3 5 4 3" xfId="11035"/>
    <cellStyle name="Normal 3 5 4 3 2" xfId="19313"/>
    <cellStyle name="Normal 3 5 4 4" xfId="5551"/>
    <cellStyle name="Normal 3 5 4 5" xfId="13849"/>
    <cellStyle name="Normal 3 5 5" xfId="5725"/>
    <cellStyle name="Normal 3 5 5 2" xfId="14011"/>
    <cellStyle name="Normal 3 5 6" xfId="8539"/>
    <cellStyle name="Normal 3 5 6 2" xfId="16819"/>
    <cellStyle name="Normal 3 5 7" xfId="11031"/>
    <cellStyle name="Normal 3 5 7 2" xfId="19309"/>
    <cellStyle name="Normal 3 5 8" xfId="5547"/>
    <cellStyle name="Normal 3 5 9" xfId="13845"/>
    <cellStyle name="Normal 3 6" xfId="2495"/>
    <cellStyle name="Normal 3 6 2" xfId="8544"/>
    <cellStyle name="Normal 3 6 2 2" xfId="16824"/>
    <cellStyle name="Normal 3 6 3" xfId="11036"/>
    <cellStyle name="Normal 3 6 3 2" xfId="19314"/>
    <cellStyle name="Normal 3 6 4" xfId="5552"/>
    <cellStyle name="Normal 3 6 5" xfId="13850"/>
    <cellStyle name="Normal 3 7" xfId="2496"/>
    <cellStyle name="Normal 3 7 2" xfId="8545"/>
    <cellStyle name="Normal 3 7 2 2" xfId="16825"/>
    <cellStyle name="Normal 3 7 3" xfId="11037"/>
    <cellStyle name="Normal 3 7 3 2" xfId="19315"/>
    <cellStyle name="Normal 3 7 4" xfId="5553"/>
    <cellStyle name="Normal 3 7 5" xfId="13851"/>
    <cellStyle name="Normal 3 8" xfId="5637"/>
    <cellStyle name="Normal 3 9" xfId="5493"/>
    <cellStyle name="Normal 4" xfId="2497"/>
    <cellStyle name="Normal 4 2" xfId="2498"/>
    <cellStyle name="Normal 4 2 2" xfId="5770"/>
    <cellStyle name="Normal 4 2 3" xfId="5555"/>
    <cellStyle name="Normal 4 3" xfId="5653"/>
    <cellStyle name="Normal 4 4" xfId="5554"/>
    <cellStyle name="Normal 5" xfId="2499"/>
    <cellStyle name="Normal 6" xfId="2500"/>
    <cellStyle name="Normal 6 10" xfId="13852"/>
    <cellStyle name="Normal 6 2" xfId="2501"/>
    <cellStyle name="Normal 6 2 2" xfId="2502"/>
    <cellStyle name="Normal 6 2 2 2" xfId="8548"/>
    <cellStyle name="Normal 6 2 2 2 2" xfId="16828"/>
    <cellStyle name="Normal 6 2 2 3" xfId="11040"/>
    <cellStyle name="Normal 6 2 2 3 2" xfId="19318"/>
    <cellStyle name="Normal 6 2 2 4" xfId="5558"/>
    <cellStyle name="Normal 6 2 2 5" xfId="13854"/>
    <cellStyle name="Normal 6 2 3" xfId="8547"/>
    <cellStyle name="Normal 6 2 3 2" xfId="16827"/>
    <cellStyle name="Normal 6 2 4" xfId="11039"/>
    <cellStyle name="Normal 6 2 4 2" xfId="19317"/>
    <cellStyle name="Normal 6 2 5" xfId="5557"/>
    <cellStyle name="Normal 6 2 6" xfId="13853"/>
    <cellStyle name="Normal 6 3" xfId="2503"/>
    <cellStyle name="Normal 6 3 2" xfId="2504"/>
    <cellStyle name="Normal 6 3 2 2" xfId="8550"/>
    <cellStyle name="Normal 6 3 2 2 2" xfId="16830"/>
    <cellStyle name="Normal 6 3 2 3" xfId="11042"/>
    <cellStyle name="Normal 6 3 2 3 2" xfId="19320"/>
    <cellStyle name="Normal 6 3 2 4" xfId="5560"/>
    <cellStyle name="Normal 6 3 2 5" xfId="13856"/>
    <cellStyle name="Normal 6 3 3" xfId="8549"/>
    <cellStyle name="Normal 6 3 3 2" xfId="16829"/>
    <cellStyle name="Normal 6 3 4" xfId="11041"/>
    <cellStyle name="Normal 6 3 4 2" xfId="19319"/>
    <cellStyle name="Normal 6 3 5" xfId="5559"/>
    <cellStyle name="Normal 6 3 6" xfId="13855"/>
    <cellStyle name="Normal 6 4" xfId="2505"/>
    <cellStyle name="Normal 6 4 2" xfId="8551"/>
    <cellStyle name="Normal 6 4 2 2" xfId="16831"/>
    <cellStyle name="Normal 6 4 3" xfId="11043"/>
    <cellStyle name="Normal 6 4 3 2" xfId="19321"/>
    <cellStyle name="Normal 6 4 4" xfId="5561"/>
    <cellStyle name="Normal 6 4 5" xfId="13857"/>
    <cellStyle name="Normal 6 5" xfId="2506"/>
    <cellStyle name="Normal 6 5 2" xfId="8552"/>
    <cellStyle name="Normal 6 5 2 2" xfId="16832"/>
    <cellStyle name="Normal 6 5 3" xfId="11044"/>
    <cellStyle name="Normal 6 5 3 2" xfId="19322"/>
    <cellStyle name="Normal 6 5 4" xfId="5562"/>
    <cellStyle name="Normal 6 5 5" xfId="13858"/>
    <cellStyle name="Normal 6 6" xfId="5827"/>
    <cellStyle name="Normal 6 6 2" xfId="14109"/>
    <cellStyle name="Normal 6 7" xfId="8546"/>
    <cellStyle name="Normal 6 7 2" xfId="16826"/>
    <cellStyle name="Normal 6 8" xfId="11038"/>
    <cellStyle name="Normal 6 8 2" xfId="19316"/>
    <cellStyle name="Normal 6 9" xfId="5556"/>
    <cellStyle name="Normal 7" xfId="2507"/>
    <cellStyle name="Normal 7 10" xfId="13859"/>
    <cellStyle name="Normal 7 2" xfId="2508"/>
    <cellStyle name="Normal 7 2 2" xfId="2509"/>
    <cellStyle name="Normal 7 2 2 2" xfId="8555"/>
    <cellStyle name="Normal 7 2 2 2 2" xfId="16835"/>
    <cellStyle name="Normal 7 2 2 3" xfId="11047"/>
    <cellStyle name="Normal 7 2 2 3 2" xfId="19325"/>
    <cellStyle name="Normal 7 2 2 4" xfId="5565"/>
    <cellStyle name="Normal 7 2 2 5" xfId="13861"/>
    <cellStyle name="Normal 7 2 3" xfId="8554"/>
    <cellStyle name="Normal 7 2 3 2" xfId="16834"/>
    <cellStyle name="Normal 7 2 4" xfId="11046"/>
    <cellStyle name="Normal 7 2 4 2" xfId="19324"/>
    <cellStyle name="Normal 7 2 5" xfId="5564"/>
    <cellStyle name="Normal 7 2 6" xfId="13860"/>
    <cellStyle name="Normal 7 3" xfId="2510"/>
    <cellStyle name="Normal 7 3 2" xfId="2511"/>
    <cellStyle name="Normal 7 3 2 2" xfId="8557"/>
    <cellStyle name="Normal 7 3 2 2 2" xfId="16837"/>
    <cellStyle name="Normal 7 3 2 3" xfId="11049"/>
    <cellStyle name="Normal 7 3 2 3 2" xfId="19327"/>
    <cellStyle name="Normal 7 3 2 4" xfId="5567"/>
    <cellStyle name="Normal 7 3 2 5" xfId="13863"/>
    <cellStyle name="Normal 7 3 3" xfId="8556"/>
    <cellStyle name="Normal 7 3 3 2" xfId="16836"/>
    <cellStyle name="Normal 7 3 4" xfId="11048"/>
    <cellStyle name="Normal 7 3 4 2" xfId="19326"/>
    <cellStyle name="Normal 7 3 5" xfId="5566"/>
    <cellStyle name="Normal 7 3 6" xfId="13862"/>
    <cellStyle name="Normal 7 4" xfId="2512"/>
    <cellStyle name="Normal 7 4 2" xfId="8558"/>
    <cellStyle name="Normal 7 4 2 2" xfId="16838"/>
    <cellStyle name="Normal 7 4 3" xfId="11050"/>
    <cellStyle name="Normal 7 4 3 2" xfId="19328"/>
    <cellStyle name="Normal 7 4 4" xfId="5568"/>
    <cellStyle name="Normal 7 4 5" xfId="13864"/>
    <cellStyle name="Normal 7 5" xfId="2513"/>
    <cellStyle name="Normal 7 5 2" xfId="8559"/>
    <cellStyle name="Normal 7 5 2 2" xfId="16839"/>
    <cellStyle name="Normal 7 5 3" xfId="11051"/>
    <cellStyle name="Normal 7 5 3 2" xfId="19329"/>
    <cellStyle name="Normal 7 5 4" xfId="5569"/>
    <cellStyle name="Normal 7 5 5" xfId="13865"/>
    <cellStyle name="Normal 7 6" xfId="5913"/>
    <cellStyle name="Normal 7 6 2" xfId="14195"/>
    <cellStyle name="Normal 7 7" xfId="8553"/>
    <cellStyle name="Normal 7 7 2" xfId="16833"/>
    <cellStyle name="Normal 7 8" xfId="11045"/>
    <cellStyle name="Normal 7 8 2" xfId="19323"/>
    <cellStyle name="Normal 7 9" xfId="5563"/>
    <cellStyle name="Normal 8" xfId="2514"/>
    <cellStyle name="Normal 8 10" xfId="13866"/>
    <cellStyle name="Normal 8 2" xfId="2515"/>
    <cellStyle name="Normal 8 2 2" xfId="2516"/>
    <cellStyle name="Normal 8 2 2 2" xfId="8562"/>
    <cellStyle name="Normal 8 2 2 2 2" xfId="16842"/>
    <cellStyle name="Normal 8 2 2 3" xfId="11054"/>
    <cellStyle name="Normal 8 2 2 3 2" xfId="19332"/>
    <cellStyle name="Normal 8 2 2 4" xfId="5572"/>
    <cellStyle name="Normal 8 2 2 5" xfId="13868"/>
    <cellStyle name="Normal 8 2 3" xfId="8561"/>
    <cellStyle name="Normal 8 2 3 2" xfId="16841"/>
    <cellStyle name="Normal 8 2 4" xfId="11053"/>
    <cellStyle name="Normal 8 2 4 2" xfId="19331"/>
    <cellStyle name="Normal 8 2 5" xfId="5571"/>
    <cellStyle name="Normal 8 2 6" xfId="13867"/>
    <cellStyle name="Normal 8 3" xfId="2517"/>
    <cellStyle name="Normal 8 3 2" xfId="2518"/>
    <cellStyle name="Normal 8 3 2 2" xfId="8564"/>
    <cellStyle name="Normal 8 3 2 2 2" xfId="16844"/>
    <cellStyle name="Normal 8 3 2 3" xfId="11056"/>
    <cellStyle name="Normal 8 3 2 3 2" xfId="19334"/>
    <cellStyle name="Normal 8 3 2 4" xfId="5574"/>
    <cellStyle name="Normal 8 3 2 5" xfId="13870"/>
    <cellStyle name="Normal 8 3 3" xfId="8563"/>
    <cellStyle name="Normal 8 3 3 2" xfId="16843"/>
    <cellStyle name="Normal 8 3 4" xfId="11055"/>
    <cellStyle name="Normal 8 3 4 2" xfId="19333"/>
    <cellStyle name="Normal 8 3 5" xfId="5573"/>
    <cellStyle name="Normal 8 3 6" xfId="13869"/>
    <cellStyle name="Normal 8 4" xfId="2519"/>
    <cellStyle name="Normal 8 4 2" xfId="8565"/>
    <cellStyle name="Normal 8 4 2 2" xfId="16845"/>
    <cellStyle name="Normal 8 4 3" xfId="11057"/>
    <cellStyle name="Normal 8 4 3 2" xfId="19335"/>
    <cellStyle name="Normal 8 4 4" xfId="5575"/>
    <cellStyle name="Normal 8 4 5" xfId="13871"/>
    <cellStyle name="Normal 8 5" xfId="2520"/>
    <cellStyle name="Normal 8 5 2" xfId="8566"/>
    <cellStyle name="Normal 8 5 2 2" xfId="16846"/>
    <cellStyle name="Normal 8 5 3" xfId="11058"/>
    <cellStyle name="Normal 8 5 3 2" xfId="19336"/>
    <cellStyle name="Normal 8 5 4" xfId="5576"/>
    <cellStyle name="Normal 8 5 5" xfId="13872"/>
    <cellStyle name="Normal 8 6" xfId="6011"/>
    <cellStyle name="Normal 8 6 2" xfId="14293"/>
    <cellStyle name="Normal 8 7" xfId="8560"/>
    <cellStyle name="Normal 8 7 2" xfId="16840"/>
    <cellStyle name="Normal 8 8" xfId="11052"/>
    <cellStyle name="Normal 8 8 2" xfId="19330"/>
    <cellStyle name="Normal 8 9" xfId="5570"/>
    <cellStyle name="Normal 9" xfId="2521"/>
    <cellStyle name="Normal 9 10" xfId="13873"/>
    <cellStyle name="Normal 9 2" xfId="2522"/>
    <cellStyle name="Normal 9 2 2" xfId="2523"/>
    <cellStyle name="Normal 9 2 2 2" xfId="8569"/>
    <cellStyle name="Normal 9 2 2 2 2" xfId="16849"/>
    <cellStyle name="Normal 9 2 2 3" xfId="11061"/>
    <cellStyle name="Normal 9 2 2 3 2" xfId="19339"/>
    <cellStyle name="Normal 9 2 2 4" xfId="5579"/>
    <cellStyle name="Normal 9 2 2 5" xfId="13875"/>
    <cellStyle name="Normal 9 2 3" xfId="8568"/>
    <cellStyle name="Normal 9 2 3 2" xfId="16848"/>
    <cellStyle name="Normal 9 2 4" xfId="11060"/>
    <cellStyle name="Normal 9 2 4 2" xfId="19338"/>
    <cellStyle name="Normal 9 2 5" xfId="5578"/>
    <cellStyle name="Normal 9 2 6" xfId="13874"/>
    <cellStyle name="Normal 9 3" xfId="2524"/>
    <cellStyle name="Normal 9 3 2" xfId="2525"/>
    <cellStyle name="Normal 9 3 2 2" xfId="8571"/>
    <cellStyle name="Normal 9 3 2 2 2" xfId="16851"/>
    <cellStyle name="Normal 9 3 2 3" xfId="11063"/>
    <cellStyle name="Normal 9 3 2 3 2" xfId="19341"/>
    <cellStyle name="Normal 9 3 2 4" xfId="5581"/>
    <cellStyle name="Normal 9 3 2 5" xfId="13877"/>
    <cellStyle name="Normal 9 3 3" xfId="8570"/>
    <cellStyle name="Normal 9 3 3 2" xfId="16850"/>
    <cellStyle name="Normal 9 3 4" xfId="11062"/>
    <cellStyle name="Normal 9 3 4 2" xfId="19340"/>
    <cellStyle name="Normal 9 3 5" xfId="5580"/>
    <cellStyle name="Normal 9 3 6" xfId="13876"/>
    <cellStyle name="Normal 9 4" xfId="2526"/>
    <cellStyle name="Normal 9 4 2" xfId="8572"/>
    <cellStyle name="Normal 9 4 2 2" xfId="16852"/>
    <cellStyle name="Normal 9 4 3" xfId="11064"/>
    <cellStyle name="Normal 9 4 3 2" xfId="19342"/>
    <cellStyle name="Normal 9 4 4" xfId="5582"/>
    <cellStyle name="Normal 9 4 5" xfId="13878"/>
    <cellStyle name="Normal 9 5" xfId="2527"/>
    <cellStyle name="Normal 9 5 2" xfId="8573"/>
    <cellStyle name="Normal 9 5 2 2" xfId="16853"/>
    <cellStyle name="Normal 9 5 3" xfId="11065"/>
    <cellStyle name="Normal 9 5 3 2" xfId="19343"/>
    <cellStyle name="Normal 9 5 4" xfId="5583"/>
    <cellStyle name="Normal 9 5 5" xfId="13879"/>
    <cellStyle name="Normal 9 6" xfId="6025"/>
    <cellStyle name="Normal 9 6 2" xfId="14307"/>
    <cellStyle name="Normal 9 7" xfId="8567"/>
    <cellStyle name="Normal 9 7 2" xfId="16847"/>
    <cellStyle name="Normal 9 8" xfId="11059"/>
    <cellStyle name="Normal 9 8 2" xfId="19337"/>
    <cellStyle name="Normal 9 9" xfId="5577"/>
    <cellStyle name="Normal_07yrbyage" xfId="2528"/>
    <cellStyle name="Normal_2007ASAForecast-Final" xfId="2529"/>
    <cellStyle name="Normal_ASA" xfId="2530"/>
    <cellStyle name="Normal_ASA_1" xfId="2531"/>
    <cellStyle name="Normal_ASA_2" xfId="2532"/>
    <cellStyle name="Note 10" xfId="5584"/>
    <cellStyle name="Note 10 2" xfId="6069"/>
    <cellStyle name="Note 10 2 2" xfId="14351"/>
    <cellStyle name="Note 10 3" xfId="13880"/>
    <cellStyle name="Note 11" xfId="19346"/>
    <cellStyle name="Note 2" xfId="2533"/>
    <cellStyle name="Note 2 10" xfId="2534"/>
    <cellStyle name="Note 2 10 2" xfId="2535"/>
    <cellStyle name="Note 2 11" xfId="2536"/>
    <cellStyle name="Note 2 12" xfId="2537"/>
    <cellStyle name="Note 2 13" xfId="5585"/>
    <cellStyle name="Note 2 13 2" xfId="13881"/>
    <cellStyle name="Note 2 14" xfId="5636"/>
    <cellStyle name="Note 2 14 2" xfId="13926"/>
    <cellStyle name="Note 2 2" xfId="2538"/>
    <cellStyle name="Note 2 2 10" xfId="5652"/>
    <cellStyle name="Note 2 2 10 2" xfId="13940"/>
    <cellStyle name="Note 2 2 2" xfId="2539"/>
    <cellStyle name="Note 2 2 2 2" xfId="2540"/>
    <cellStyle name="Note 2 2 2 2 2" xfId="2541"/>
    <cellStyle name="Note 2 2 2 3" xfId="2542"/>
    <cellStyle name="Note 2 2 2 3 2" xfId="2543"/>
    <cellStyle name="Note 2 2 2 4" xfId="2544"/>
    <cellStyle name="Note 2 2 2 5" xfId="2545"/>
    <cellStyle name="Note 2 2 2 6" xfId="5586"/>
    <cellStyle name="Note 2 2 2 6 2" xfId="13882"/>
    <cellStyle name="Note 2 2 2 7" xfId="5856"/>
    <cellStyle name="Note 2 2 2 7 2" xfId="14138"/>
    <cellStyle name="Note 2 2 3" xfId="2546"/>
    <cellStyle name="Note 2 2 3 2" xfId="2547"/>
    <cellStyle name="Note 2 2 3 2 2" xfId="2548"/>
    <cellStyle name="Note 2 2 3 3" xfId="2549"/>
    <cellStyle name="Note 2 2 3 3 2" xfId="2550"/>
    <cellStyle name="Note 2 2 3 4" xfId="2551"/>
    <cellStyle name="Note 2 2 3 5" xfId="2552"/>
    <cellStyle name="Note 2 2 3 6" xfId="5587"/>
    <cellStyle name="Note 2 2 3 6 2" xfId="13883"/>
    <cellStyle name="Note 2 2 3 7" xfId="5954"/>
    <cellStyle name="Note 2 2 3 7 2" xfId="14236"/>
    <cellStyle name="Note 2 2 4" xfId="2553"/>
    <cellStyle name="Note 2 2 4 2" xfId="2554"/>
    <cellStyle name="Note 2 2 4 2 2" xfId="2555"/>
    <cellStyle name="Note 2 2 4 3" xfId="2556"/>
    <cellStyle name="Note 2 2 4 4" xfId="2557"/>
    <cellStyle name="Note 2 2 4 5" xfId="5588"/>
    <cellStyle name="Note 2 2 4 5 2" xfId="13884"/>
    <cellStyle name="Note 2 2 4 6" xfId="5769"/>
    <cellStyle name="Note 2 2 4 6 2" xfId="14052"/>
    <cellStyle name="Note 2 2 5" xfId="2558"/>
    <cellStyle name="Note 2 2 5 2" xfId="2559"/>
    <cellStyle name="Note 2 2 6" xfId="2560"/>
    <cellStyle name="Note 2 2 6 2" xfId="2561"/>
    <cellStyle name="Note 2 2 7" xfId="2562"/>
    <cellStyle name="Note 2 2 8" xfId="2563"/>
    <cellStyle name="Note 2 2 9" xfId="5589"/>
    <cellStyle name="Note 2 2 9 2" xfId="13885"/>
    <cellStyle name="Note 2 3" xfId="2564"/>
    <cellStyle name="Note 2 3 10" xfId="5668"/>
    <cellStyle name="Note 2 3 10 2" xfId="13954"/>
    <cellStyle name="Note 2 3 2" xfId="2565"/>
    <cellStyle name="Note 2 3 2 2" xfId="2566"/>
    <cellStyle name="Note 2 3 2 2 2" xfId="2567"/>
    <cellStyle name="Note 2 3 2 3" xfId="2568"/>
    <cellStyle name="Note 2 3 2 3 2" xfId="2569"/>
    <cellStyle name="Note 2 3 2 4" xfId="2570"/>
    <cellStyle name="Note 2 3 2 5" xfId="2571"/>
    <cellStyle name="Note 2 3 2 6" xfId="5590"/>
    <cellStyle name="Note 2 3 2 6 2" xfId="13886"/>
    <cellStyle name="Note 2 3 2 7" xfId="5870"/>
    <cellStyle name="Note 2 3 2 7 2" xfId="14152"/>
    <cellStyle name="Note 2 3 3" xfId="2572"/>
    <cellStyle name="Note 2 3 3 2" xfId="2573"/>
    <cellStyle name="Note 2 3 3 2 2" xfId="2574"/>
    <cellStyle name="Note 2 3 3 3" xfId="2575"/>
    <cellStyle name="Note 2 3 3 3 2" xfId="2576"/>
    <cellStyle name="Note 2 3 3 4" xfId="2577"/>
    <cellStyle name="Note 2 3 3 5" xfId="2578"/>
    <cellStyle name="Note 2 3 3 6" xfId="5591"/>
    <cellStyle name="Note 2 3 3 6 2" xfId="13887"/>
    <cellStyle name="Note 2 3 3 7" xfId="5968"/>
    <cellStyle name="Note 2 3 3 7 2" xfId="14250"/>
    <cellStyle name="Note 2 3 4" xfId="2579"/>
    <cellStyle name="Note 2 3 4 2" xfId="2580"/>
    <cellStyle name="Note 2 3 4 2 2" xfId="2581"/>
    <cellStyle name="Note 2 3 4 3" xfId="2582"/>
    <cellStyle name="Note 2 3 4 4" xfId="2583"/>
    <cellStyle name="Note 2 3 4 5" xfId="5592"/>
    <cellStyle name="Note 2 3 4 5 2" xfId="13888"/>
    <cellStyle name="Note 2 3 4 6" xfId="5784"/>
    <cellStyle name="Note 2 3 4 6 2" xfId="14066"/>
    <cellStyle name="Note 2 3 5" xfId="2584"/>
    <cellStyle name="Note 2 3 5 2" xfId="2585"/>
    <cellStyle name="Note 2 3 6" xfId="2586"/>
    <cellStyle name="Note 2 3 6 2" xfId="2587"/>
    <cellStyle name="Note 2 3 7" xfId="2588"/>
    <cellStyle name="Note 2 3 8" xfId="2589"/>
    <cellStyle name="Note 2 3 9" xfId="5593"/>
    <cellStyle name="Note 2 3 9 2" xfId="13889"/>
    <cellStyle name="Note 2 4" xfId="2590"/>
    <cellStyle name="Note 2 4 10" xfId="5696"/>
    <cellStyle name="Note 2 4 10 2" xfId="13982"/>
    <cellStyle name="Note 2 4 2" xfId="2591"/>
    <cellStyle name="Note 2 4 2 2" xfId="2592"/>
    <cellStyle name="Note 2 4 2 2 2" xfId="2593"/>
    <cellStyle name="Note 2 4 2 3" xfId="2594"/>
    <cellStyle name="Note 2 4 2 3 2" xfId="2595"/>
    <cellStyle name="Note 2 4 2 4" xfId="2596"/>
    <cellStyle name="Note 2 4 2 5" xfId="2597"/>
    <cellStyle name="Note 2 4 2 6" xfId="5594"/>
    <cellStyle name="Note 2 4 2 6 2" xfId="13890"/>
    <cellStyle name="Note 2 4 2 7" xfId="5898"/>
    <cellStyle name="Note 2 4 2 7 2" xfId="14180"/>
    <cellStyle name="Note 2 4 3" xfId="2598"/>
    <cellStyle name="Note 2 4 3 2" xfId="2599"/>
    <cellStyle name="Note 2 4 3 2 2" xfId="2600"/>
    <cellStyle name="Note 2 4 3 3" xfId="2601"/>
    <cellStyle name="Note 2 4 3 3 2" xfId="2602"/>
    <cellStyle name="Note 2 4 3 4" xfId="2603"/>
    <cellStyle name="Note 2 4 3 5" xfId="2604"/>
    <cellStyle name="Note 2 4 3 6" xfId="5595"/>
    <cellStyle name="Note 2 4 3 6 2" xfId="13891"/>
    <cellStyle name="Note 2 4 3 7" xfId="5996"/>
    <cellStyle name="Note 2 4 3 7 2" xfId="14278"/>
    <cellStyle name="Note 2 4 4" xfId="2605"/>
    <cellStyle name="Note 2 4 4 2" xfId="2606"/>
    <cellStyle name="Note 2 4 4 2 2" xfId="2607"/>
    <cellStyle name="Note 2 4 4 3" xfId="2608"/>
    <cellStyle name="Note 2 4 4 4" xfId="2609"/>
    <cellStyle name="Note 2 4 4 5" xfId="5596"/>
    <cellStyle name="Note 2 4 4 5 2" xfId="13892"/>
    <cellStyle name="Note 2 4 4 6" xfId="5812"/>
    <cellStyle name="Note 2 4 4 6 2" xfId="14094"/>
    <cellStyle name="Note 2 4 5" xfId="2610"/>
    <cellStyle name="Note 2 4 5 2" xfId="2611"/>
    <cellStyle name="Note 2 4 6" xfId="2612"/>
    <cellStyle name="Note 2 4 6 2" xfId="2613"/>
    <cellStyle name="Note 2 4 7" xfId="2614"/>
    <cellStyle name="Note 2 4 8" xfId="2615"/>
    <cellStyle name="Note 2 4 9" xfId="5597"/>
    <cellStyle name="Note 2 4 9 2" xfId="13893"/>
    <cellStyle name="Note 2 5" xfId="2616"/>
    <cellStyle name="Note 2 5 2" xfId="2617"/>
    <cellStyle name="Note 2 5 2 2" xfId="2618"/>
    <cellStyle name="Note 2 5 3" xfId="2619"/>
    <cellStyle name="Note 2 5 3 2" xfId="2620"/>
    <cellStyle name="Note 2 5 4" xfId="2621"/>
    <cellStyle name="Note 2 5 5" xfId="2622"/>
    <cellStyle name="Note 2 5 6" xfId="5598"/>
    <cellStyle name="Note 2 5 6 2" xfId="13894"/>
    <cellStyle name="Note 2 5 7" xfId="5753"/>
    <cellStyle name="Note 2 5 7 2" xfId="14038"/>
    <cellStyle name="Note 2 6" xfId="2623"/>
    <cellStyle name="Note 2 6 2" xfId="2624"/>
    <cellStyle name="Note 2 6 2 2" xfId="2625"/>
    <cellStyle name="Note 2 6 3" xfId="2626"/>
    <cellStyle name="Note 2 6 3 2" xfId="2627"/>
    <cellStyle name="Note 2 6 4" xfId="2628"/>
    <cellStyle name="Note 2 6 5" xfId="2629"/>
    <cellStyle name="Note 2 6 6" xfId="5599"/>
    <cellStyle name="Note 2 6 6 2" xfId="13895"/>
    <cellStyle name="Note 2 6 7" xfId="5842"/>
    <cellStyle name="Note 2 6 7 2" xfId="14124"/>
    <cellStyle name="Note 2 7" xfId="2630"/>
    <cellStyle name="Note 2 7 2" xfId="2631"/>
    <cellStyle name="Note 2 7 2 2" xfId="2632"/>
    <cellStyle name="Note 2 7 3" xfId="2633"/>
    <cellStyle name="Note 2 7 3 2" xfId="2634"/>
    <cellStyle name="Note 2 7 4" xfId="2635"/>
    <cellStyle name="Note 2 7 5" xfId="2636"/>
    <cellStyle name="Note 2 7 6" xfId="5600"/>
    <cellStyle name="Note 2 7 6 2" xfId="13896"/>
    <cellStyle name="Note 2 7 7" xfId="5940"/>
    <cellStyle name="Note 2 7 7 2" xfId="14222"/>
    <cellStyle name="Note 2 8" xfId="2637"/>
    <cellStyle name="Note 2 8 2" xfId="2638"/>
    <cellStyle name="Note 2 8 2 2" xfId="2639"/>
    <cellStyle name="Note 2 8 3" xfId="2640"/>
    <cellStyle name="Note 2 8 4" xfId="2641"/>
    <cellStyle name="Note 2 8 5" xfId="5601"/>
    <cellStyle name="Note 2 8 5 2" xfId="13897"/>
    <cellStyle name="Note 2 8 6" xfId="5724"/>
    <cellStyle name="Note 2 8 6 2" xfId="14010"/>
    <cellStyle name="Note 2 9" xfId="2642"/>
    <cellStyle name="Note 2 9 2" xfId="2643"/>
    <cellStyle name="Note 3" xfId="2644"/>
    <cellStyle name="Note 3 10" xfId="2645"/>
    <cellStyle name="Note 3 11" xfId="5602"/>
    <cellStyle name="Note 3 11 2" xfId="13898"/>
    <cellStyle name="Note 3 12" xfId="5670"/>
    <cellStyle name="Note 3 12 2" xfId="13956"/>
    <cellStyle name="Note 3 2" xfId="2646"/>
    <cellStyle name="Note 3 2 10" xfId="5698"/>
    <cellStyle name="Note 3 2 10 2" xfId="13984"/>
    <cellStyle name="Note 3 2 2" xfId="2647"/>
    <cellStyle name="Note 3 2 2 2" xfId="2648"/>
    <cellStyle name="Note 3 2 2 2 2" xfId="2649"/>
    <cellStyle name="Note 3 2 2 3" xfId="2650"/>
    <cellStyle name="Note 3 2 2 3 2" xfId="2651"/>
    <cellStyle name="Note 3 2 2 4" xfId="2652"/>
    <cellStyle name="Note 3 2 2 5" xfId="2653"/>
    <cellStyle name="Note 3 2 2 6" xfId="5603"/>
    <cellStyle name="Note 3 2 2 6 2" xfId="13899"/>
    <cellStyle name="Note 3 2 2 7" xfId="5900"/>
    <cellStyle name="Note 3 2 2 7 2" xfId="14182"/>
    <cellStyle name="Note 3 2 3" xfId="2654"/>
    <cellStyle name="Note 3 2 3 2" xfId="2655"/>
    <cellStyle name="Note 3 2 3 2 2" xfId="2656"/>
    <cellStyle name="Note 3 2 3 3" xfId="2657"/>
    <cellStyle name="Note 3 2 3 3 2" xfId="2658"/>
    <cellStyle name="Note 3 2 3 4" xfId="2659"/>
    <cellStyle name="Note 3 2 3 5" xfId="2660"/>
    <cellStyle name="Note 3 2 3 6" xfId="5604"/>
    <cellStyle name="Note 3 2 3 6 2" xfId="13900"/>
    <cellStyle name="Note 3 2 3 7" xfId="5998"/>
    <cellStyle name="Note 3 2 3 7 2" xfId="14280"/>
    <cellStyle name="Note 3 2 4" xfId="2661"/>
    <cellStyle name="Note 3 2 4 2" xfId="2662"/>
    <cellStyle name="Note 3 2 4 2 2" xfId="2663"/>
    <cellStyle name="Note 3 2 4 3" xfId="2664"/>
    <cellStyle name="Note 3 2 4 4" xfId="2665"/>
    <cellStyle name="Note 3 2 4 5" xfId="5605"/>
    <cellStyle name="Note 3 2 4 5 2" xfId="13901"/>
    <cellStyle name="Note 3 2 4 6" xfId="5814"/>
    <cellStyle name="Note 3 2 4 6 2" xfId="14096"/>
    <cellStyle name="Note 3 2 5" xfId="2666"/>
    <cellStyle name="Note 3 2 5 2" xfId="2667"/>
    <cellStyle name="Note 3 2 6" xfId="2668"/>
    <cellStyle name="Note 3 2 6 2" xfId="2669"/>
    <cellStyle name="Note 3 2 7" xfId="2670"/>
    <cellStyle name="Note 3 2 8" xfId="2671"/>
    <cellStyle name="Note 3 2 9" xfId="5606"/>
    <cellStyle name="Note 3 2 9 2" xfId="13902"/>
    <cellStyle name="Note 3 3" xfId="2672"/>
    <cellStyle name="Note 3 3 2" xfId="2673"/>
    <cellStyle name="Note 3 3 2 2" xfId="2674"/>
    <cellStyle name="Note 3 3 3" xfId="2675"/>
    <cellStyle name="Note 3 3 3 2" xfId="2676"/>
    <cellStyle name="Note 3 3 4" xfId="2677"/>
    <cellStyle name="Note 3 3 5" xfId="2678"/>
    <cellStyle name="Note 3 3 6" xfId="5607"/>
    <cellStyle name="Note 3 3 6 2" xfId="13903"/>
    <cellStyle name="Note 3 3 7" xfId="5786"/>
    <cellStyle name="Note 3 3 7 2" xfId="14068"/>
    <cellStyle name="Note 3 4" xfId="2679"/>
    <cellStyle name="Note 3 4 2" xfId="2680"/>
    <cellStyle name="Note 3 4 2 2" xfId="2681"/>
    <cellStyle name="Note 3 4 3" xfId="2682"/>
    <cellStyle name="Note 3 4 3 2" xfId="2683"/>
    <cellStyle name="Note 3 4 4" xfId="2684"/>
    <cellStyle name="Note 3 4 5" xfId="2685"/>
    <cellStyle name="Note 3 4 6" xfId="5608"/>
    <cellStyle name="Note 3 4 6 2" xfId="13904"/>
    <cellStyle name="Note 3 4 7" xfId="5872"/>
    <cellStyle name="Note 3 4 7 2" xfId="14154"/>
    <cellStyle name="Note 3 5" xfId="2686"/>
    <cellStyle name="Note 3 5 2" xfId="2687"/>
    <cellStyle name="Note 3 5 2 2" xfId="2688"/>
    <cellStyle name="Note 3 5 3" xfId="2689"/>
    <cellStyle name="Note 3 5 3 2" xfId="2690"/>
    <cellStyle name="Note 3 5 4" xfId="2691"/>
    <cellStyle name="Note 3 5 5" xfId="2692"/>
    <cellStyle name="Note 3 5 6" xfId="5609"/>
    <cellStyle name="Note 3 5 6 2" xfId="13905"/>
    <cellStyle name="Note 3 5 7" xfId="5970"/>
    <cellStyle name="Note 3 5 7 2" xfId="14252"/>
    <cellStyle name="Note 3 6" xfId="2693"/>
    <cellStyle name="Note 3 6 2" xfId="2694"/>
    <cellStyle name="Note 3 6 2 2" xfId="2695"/>
    <cellStyle name="Note 3 6 3" xfId="2696"/>
    <cellStyle name="Note 3 6 4" xfId="2697"/>
    <cellStyle name="Note 3 6 5" xfId="5610"/>
    <cellStyle name="Note 3 6 5 2" xfId="13906"/>
    <cellStyle name="Note 3 6 6" xfId="5726"/>
    <cellStyle name="Note 3 6 6 2" xfId="14012"/>
    <cellStyle name="Note 3 7" xfId="2698"/>
    <cellStyle name="Note 3 7 2" xfId="2699"/>
    <cellStyle name="Note 3 8" xfId="2700"/>
    <cellStyle name="Note 3 8 2" xfId="2701"/>
    <cellStyle name="Note 3 9" xfId="2702"/>
    <cellStyle name="Note 4" xfId="2703"/>
    <cellStyle name="Note 4 2" xfId="2704"/>
    <cellStyle name="Note 4 2 2" xfId="2705"/>
    <cellStyle name="Note 4 3" xfId="2706"/>
    <cellStyle name="Note 4 3 2" xfId="2707"/>
    <cellStyle name="Note 4 4" xfId="2708"/>
    <cellStyle name="Note 4 5" xfId="2709"/>
    <cellStyle name="Note 4 6" xfId="5611"/>
    <cellStyle name="Note 4 6 2" xfId="13907"/>
    <cellStyle name="Note 4 7" xfId="5828"/>
    <cellStyle name="Note 4 7 2" xfId="14110"/>
    <cellStyle name="Note 5" xfId="2710"/>
    <cellStyle name="Note 5 2" xfId="2711"/>
    <cellStyle name="Note 5 2 2" xfId="2712"/>
    <cellStyle name="Note 5 3" xfId="2713"/>
    <cellStyle name="Note 5 3 2" xfId="2714"/>
    <cellStyle name="Note 5 4" xfId="2715"/>
    <cellStyle name="Note 5 5" xfId="2716"/>
    <cellStyle name="Note 5 6" xfId="5612"/>
    <cellStyle name="Note 5 6 2" xfId="13908"/>
    <cellStyle name="Note 5 7" xfId="5914"/>
    <cellStyle name="Note 5 7 2" xfId="14196"/>
    <cellStyle name="Note 6" xfId="2717"/>
    <cellStyle name="Note 6 2" xfId="2718"/>
    <cellStyle name="Note 6 2 2" xfId="2719"/>
    <cellStyle name="Note 6 3" xfId="2720"/>
    <cellStyle name="Note 6 3 2" xfId="2721"/>
    <cellStyle name="Note 6 4" xfId="2722"/>
    <cellStyle name="Note 6 5" xfId="2723"/>
    <cellStyle name="Note 6 6" xfId="5613"/>
    <cellStyle name="Note 6 6 2" xfId="13909"/>
    <cellStyle name="Note 6 7" xfId="6012"/>
    <cellStyle name="Note 6 7 2" xfId="14294"/>
    <cellStyle name="Note 7" xfId="2724"/>
    <cellStyle name="Note 7 2" xfId="2725"/>
    <cellStyle name="Note 7 2 2" xfId="2726"/>
    <cellStyle name="Note 7 3" xfId="2727"/>
    <cellStyle name="Note 7 3 2" xfId="2728"/>
    <cellStyle name="Note 7 4" xfId="2729"/>
    <cellStyle name="Note 7 5" xfId="2730"/>
    <cellStyle name="Note 7 6" xfId="5614"/>
    <cellStyle name="Note 7 6 2" xfId="13910"/>
    <cellStyle name="Note 7 7" xfId="6026"/>
    <cellStyle name="Note 7 7 2" xfId="14308"/>
    <cellStyle name="Note 8" xfId="5615"/>
    <cellStyle name="Note 8 2" xfId="6041"/>
    <cellStyle name="Note 8 2 2" xfId="14323"/>
    <cellStyle name="Note 8 3" xfId="13911"/>
    <cellStyle name="Note 9" xfId="5616"/>
    <cellStyle name="Note 9 2" xfId="6055"/>
    <cellStyle name="Note 9 2 2" xfId="14337"/>
    <cellStyle name="Note 9 3" xfId="13912"/>
    <cellStyle name="Output" xfId="2731" builtinId="21" customBuiltin="1"/>
    <cellStyle name="Output 2" xfId="5617"/>
    <cellStyle name="Percent" xfId="2732" builtinId="5"/>
    <cellStyle name="Percent 2" xfId="2733"/>
    <cellStyle name="Percent 2 2" xfId="2734"/>
    <cellStyle name="Percent 2 2 2" xfId="8574"/>
    <cellStyle name="Percent 2 2 3" xfId="5619"/>
    <cellStyle name="Percent 2 3" xfId="5739"/>
    <cellStyle name="Percent 2 4" xfId="5618"/>
    <cellStyle name="Percent 3" xfId="2735"/>
    <cellStyle name="Percent 3 2" xfId="8575"/>
    <cellStyle name="Percent 3 3" xfId="5620"/>
    <cellStyle name="Title" xfId="2736" builtinId="15" customBuiltin="1"/>
    <cellStyle name="Title 2" xfId="5621"/>
    <cellStyle name="Total" xfId="2737" builtinId="25" customBuiltin="1"/>
    <cellStyle name="Total 2" xfId="5622"/>
    <cellStyle name="Warning Text" xfId="2738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84615384615384"/>
          <c:y val="6.6115880347904693E-2"/>
          <c:w val="0.76461538461538459"/>
          <c:h val="0.7796164224357095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ASA!$P$149:$P$186</c:f>
              <c:numCache>
                <c:formatCode>General</c:formatCode>
                <c:ptCount val="3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</c:numCache>
            </c:numRef>
          </c:cat>
          <c:val>
            <c:numRef>
              <c:f>ASA!$AJ$149:$AJ$186</c:f>
              <c:numCache>
                <c:formatCode>#,##0</c:formatCode>
                <c:ptCount val="38"/>
                <c:pt idx="0">
                  <c:v>190292</c:v>
                </c:pt>
                <c:pt idx="1">
                  <c:v>239022</c:v>
                </c:pt>
                <c:pt idx="2">
                  <c:v>68686</c:v>
                </c:pt>
                <c:pt idx="3">
                  <c:v>158650</c:v>
                </c:pt>
                <c:pt idx="4">
                  <c:v>97902</c:v>
                </c:pt>
                <c:pt idx="5">
                  <c:v>233700</c:v>
                </c:pt>
                <c:pt idx="6">
                  <c:v>114880</c:v>
                </c:pt>
                <c:pt idx="7">
                  <c:v>131400</c:v>
                </c:pt>
                <c:pt idx="8">
                  <c:v>94770</c:v>
                </c:pt>
                <c:pt idx="9">
                  <c:v>88398</c:v>
                </c:pt>
                <c:pt idx="10">
                  <c:v>134717.71434000001</c:v>
                </c:pt>
                <c:pt idx="11">
                  <c:v>98965</c:v>
                </c:pt>
                <c:pt idx="12">
                  <c:v>88105</c:v>
                </c:pt>
                <c:pt idx="13">
                  <c:v>83229</c:v>
                </c:pt>
                <c:pt idx="14">
                  <c:v>156956.81859000001</c:v>
                </c:pt>
                <c:pt idx="15">
                  <c:v>193847.00000000003</c:v>
                </c:pt>
                <c:pt idx="16">
                  <c:v>185411.68202848587</c:v>
                </c:pt>
                <c:pt idx="17" formatCode="General">
                  <c:v>23550</c:v>
                </c:pt>
                <c:pt idx="18" formatCode="General">
                  <c:v>94051</c:v>
                </c:pt>
                <c:pt idx="19">
                  <c:v>144887</c:v>
                </c:pt>
                <c:pt idx="20" formatCode="General">
                  <c:v>9872</c:v>
                </c:pt>
                <c:pt idx="21">
                  <c:v>157028</c:v>
                </c:pt>
                <c:pt idx="22" formatCode="General">
                  <c:v>93214</c:v>
                </c:pt>
                <c:pt idx="23">
                  <c:v>115155</c:v>
                </c:pt>
                <c:pt idx="24" formatCode="General">
                  <c:v>61377</c:v>
                </c:pt>
                <c:pt idx="25" formatCode="General">
                  <c:v>47074</c:v>
                </c:pt>
                <c:pt idx="26" formatCode="General">
                  <c:v>53625</c:v>
                </c:pt>
                <c:pt idx="27">
                  <c:v>163737</c:v>
                </c:pt>
                <c:pt idx="28">
                  <c:v>179580</c:v>
                </c:pt>
                <c:pt idx="29">
                  <c:v>143827</c:v>
                </c:pt>
                <c:pt idx="30">
                  <c:v>136839</c:v>
                </c:pt>
                <c:pt idx="31" formatCode="General">
                  <c:v>142154</c:v>
                </c:pt>
                <c:pt idx="32" formatCode="General">
                  <c:v>146913</c:v>
                </c:pt>
                <c:pt idx="33" formatCode="General">
                  <c:v>62333</c:v>
                </c:pt>
                <c:pt idx="34" formatCode="General">
                  <c:v>167738</c:v>
                </c:pt>
                <c:pt idx="35" formatCode="General">
                  <c:v>169020</c:v>
                </c:pt>
                <c:pt idx="36" formatCode="General">
                  <c:v>203267</c:v>
                </c:pt>
                <c:pt idx="37" formatCode="General">
                  <c:v>228807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9C9-4BA9-9559-01069219FCDD}"/>
            </c:ext>
          </c:extLst>
        </c:ser>
        <c:ser>
          <c:idx val="0"/>
          <c:order val="1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32"/>
            <c:marker>
              <c:symbol val="diamond"/>
              <c:size val="10"/>
            </c:marker>
            <c:bubble3D val="0"/>
            <c:spPr>
              <a:ln w="28575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A9C9-4BA9-9559-01069219FCDD}"/>
              </c:ext>
            </c:extLst>
          </c:dPt>
          <c:cat>
            <c:numRef>
              <c:f>ASA!$P$149:$P$186</c:f>
              <c:numCache>
                <c:formatCode>General</c:formatCode>
                <c:ptCount val="3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</c:numCache>
            </c:numRef>
          </c:cat>
          <c:val>
            <c:numRef>
              <c:f>ASA!$AD$149:$AD$187</c:f>
              <c:numCache>
                <c:formatCode>#,##0</c:formatCode>
                <c:ptCount val="39"/>
                <c:pt idx="0">
                  <c:v>51593.007936669368</c:v>
                </c:pt>
                <c:pt idx="1">
                  <c:v>64524.886574299991</c:v>
                </c:pt>
                <c:pt idx="2">
                  <c:v>77979.7287043674</c:v>
                </c:pt>
                <c:pt idx="3">
                  <c:v>135210.57761074</c:v>
                </c:pt>
                <c:pt idx="4">
                  <c:v>209852.01019859154</c:v>
                </c:pt>
                <c:pt idx="5">
                  <c:v>254955.43451549846</c:v>
                </c:pt>
                <c:pt idx="6">
                  <c:v>267237.0975035954</c:v>
                </c:pt>
                <c:pt idx="7">
                  <c:v>327851.84666992573</c:v>
                </c:pt>
                <c:pt idx="8">
                  <c:v>340135.68445083883</c:v>
                </c:pt>
                <c:pt idx="9">
                  <c:v>350372.80494152429</c:v>
                </c:pt>
                <c:pt idx="10">
                  <c:v>288861.63887032121</c:v>
                </c:pt>
                <c:pt idx="11">
                  <c:v>241974.55787138248</c:v>
                </c:pt>
                <c:pt idx="12">
                  <c:v>205329.58175484362</c:v>
                </c:pt>
                <c:pt idx="13">
                  <c:v>197715.35453543437</c:v>
                </c:pt>
                <c:pt idx="14">
                  <c:v>193638.86061192374</c:v>
                </c:pt>
                <c:pt idx="15">
                  <c:v>175370.3275455283</c:v>
                </c:pt>
                <c:pt idx="16">
                  <c:v>193291.94660229058</c:v>
                </c:pt>
                <c:pt idx="17">
                  <c:v>179831.90298826009</c:v>
                </c:pt>
                <c:pt idx="18">
                  <c:v>175107.57024913732</c:v>
                </c:pt>
                <c:pt idx="19">
                  <c:v>154537.46163460871</c:v>
                </c:pt>
                <c:pt idx="20">
                  <c:v>148286.33754551286</c:v>
                </c:pt>
                <c:pt idx="21">
                  <c:v>122684.27566363319</c:v>
                </c:pt>
                <c:pt idx="22">
                  <c:v>116471.63382790155</c:v>
                </c:pt>
                <c:pt idx="23">
                  <c:v>125157.21120269166</c:v>
                </c:pt>
                <c:pt idx="24">
                  <c:v>137273.07456422318</c:v>
                </c:pt>
                <c:pt idx="25">
                  <c:v>163266.0853690666</c:v>
                </c:pt>
                <c:pt idx="26">
                  <c:v>165144.12582292006</c:v>
                </c:pt>
                <c:pt idx="27">
                  <c:v>162425.91524860595</c:v>
                </c:pt>
                <c:pt idx="28">
                  <c:v>167737.87811426981</c:v>
                </c:pt>
                <c:pt idx="29">
                  <c:v>149639.61325531025</c:v>
                </c:pt>
                <c:pt idx="30">
                  <c:v>133203.66448142537</c:v>
                </c:pt>
                <c:pt idx="31">
                  <c:v>135304.16538022665</c:v>
                </c:pt>
                <c:pt idx="32">
                  <c:v>155785.96888970767</c:v>
                </c:pt>
                <c:pt idx="33">
                  <c:v>166382.52576763462</c:v>
                </c:pt>
                <c:pt idx="34">
                  <c:v>174124.06078798542</c:v>
                </c:pt>
                <c:pt idx="35">
                  <c:v>200751.59180578825</c:v>
                </c:pt>
                <c:pt idx="36">
                  <c:v>190639.7410516642</c:v>
                </c:pt>
                <c:pt idx="37">
                  <c:v>177278.43970241866</c:v>
                </c:pt>
                <c:pt idx="38">
                  <c:v>152507.86677471446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9C9-4BA9-9559-01069219F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393408"/>
        <c:axId val="151395712"/>
      </c:lineChart>
      <c:lineChart>
        <c:grouping val="standard"/>
        <c:varyColors val="0"/>
        <c:ser>
          <c:idx val="2"/>
          <c:order val="2"/>
          <c:tx>
            <c:v>Harvest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ASA!$AG$149:$AG$186</c:f>
              <c:numCache>
                <c:formatCode>#,##0</c:formatCode>
                <c:ptCount val="38"/>
                <c:pt idx="0">
                  <c:v>7734</c:v>
                </c:pt>
                <c:pt idx="1">
                  <c:v>11558</c:v>
                </c:pt>
                <c:pt idx="2">
                  <c:v>24516</c:v>
                </c:pt>
                <c:pt idx="3">
                  <c:v>12489</c:v>
                </c:pt>
                <c:pt idx="4">
                  <c:v>21821</c:v>
                </c:pt>
                <c:pt idx="5">
                  <c:v>26786</c:v>
                </c:pt>
                <c:pt idx="6">
                  <c:v>19419</c:v>
                </c:pt>
                <c:pt idx="7">
                  <c:v>25812</c:v>
                </c:pt>
                <c:pt idx="8">
                  <c:v>16276</c:v>
                </c:pt>
                <c:pt idx="9">
                  <c:v>15530</c:v>
                </c:pt>
                <c:pt idx="10">
                  <c:v>14167</c:v>
                </c:pt>
                <c:pt idx="11">
                  <c:v>12259</c:v>
                </c:pt>
                <c:pt idx="12">
                  <c:v>12230</c:v>
                </c:pt>
                <c:pt idx="13">
                  <c:v>14970</c:v>
                </c:pt>
                <c:pt idx="14">
                  <c:v>25808</c:v>
                </c:pt>
                <c:pt idx="15">
                  <c:v>17956</c:v>
                </c:pt>
                <c:pt idx="16">
                  <c:v>30315</c:v>
                </c:pt>
                <c:pt idx="17">
                  <c:v>26732</c:v>
                </c:pt>
                <c:pt idx="18">
                  <c:v>24871</c:v>
                </c:pt>
                <c:pt idx="19">
                  <c:v>23813</c:v>
                </c:pt>
                <c:pt idx="20">
                  <c:v>22776</c:v>
                </c:pt>
                <c:pt idx="21">
                  <c:v>19878</c:v>
                </c:pt>
                <c:pt idx="22">
                  <c:v>20421</c:v>
                </c:pt>
                <c:pt idx="23">
                  <c:v>22330</c:v>
                </c:pt>
                <c:pt idx="24">
                  <c:v>17049</c:v>
                </c:pt>
                <c:pt idx="25">
                  <c:v>21663</c:v>
                </c:pt>
                <c:pt idx="26">
                  <c:v>18868</c:v>
                </c:pt>
                <c:pt idx="27">
                  <c:v>20911.8</c:v>
                </c:pt>
                <c:pt idx="28">
                  <c:v>23953</c:v>
                </c:pt>
                <c:pt idx="29">
                  <c:v>17132</c:v>
                </c:pt>
                <c:pt idx="30">
                  <c:v>19060</c:v>
                </c:pt>
                <c:pt idx="31">
                  <c:v>17107</c:v>
                </c:pt>
                <c:pt idx="32">
                  <c:v>20335</c:v>
                </c:pt>
                <c:pt idx="33">
                  <c:v>22877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9C9-4BA9-9559-01069219F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397888"/>
        <c:axId val="151399424"/>
      </c:lineChart>
      <c:catAx>
        <c:axId val="15139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9230769230769234"/>
              <c:y val="0.925622218418349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1395712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51395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Total Run Biomass (tons)</a:t>
                </a:r>
              </a:p>
            </c:rich>
          </c:tx>
          <c:layout>
            <c:manualLayout>
              <c:xMode val="edge"/>
              <c:yMode val="edge"/>
              <c:x val="9.2307692307692316E-3"/>
              <c:y val="0.258953840009129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1393408"/>
        <c:crosses val="autoZero"/>
        <c:crossBetween val="between"/>
      </c:valAx>
      <c:catAx>
        <c:axId val="151397888"/>
        <c:scaling>
          <c:orientation val="minMax"/>
        </c:scaling>
        <c:delete val="1"/>
        <c:axPos val="b"/>
        <c:majorTickMark val="out"/>
        <c:minorTickMark val="none"/>
        <c:tickLblPos val="nextTo"/>
        <c:crossAx val="151399424"/>
        <c:crosses val="autoZero"/>
        <c:auto val="0"/>
        <c:lblAlgn val="ctr"/>
        <c:lblOffset val="100"/>
        <c:noMultiLvlLbl val="0"/>
      </c:catAx>
      <c:valAx>
        <c:axId val="151399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Harvest (tons)</a:t>
                </a:r>
              </a:p>
            </c:rich>
          </c:tx>
          <c:layout>
            <c:manualLayout>
              <c:xMode val="edge"/>
              <c:yMode val="edge"/>
              <c:x val="0.95692307692307688"/>
              <c:y val="0.3581276389364372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1397888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9846153846153847"/>
          <c:y val="9.0909220586557121E-2"/>
          <c:w val="0.17794871794871794"/>
          <c:h val="0.159780041081821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476250</xdr:colOff>
      <xdr:row>148</xdr:row>
      <xdr:rowOff>95250</xdr:rowOff>
    </xdr:from>
    <xdr:to>
      <xdr:col>54</xdr:col>
      <xdr:colOff>371475</xdr:colOff>
      <xdr:row>173</xdr:row>
      <xdr:rowOff>28575</xdr:rowOff>
    </xdr:to>
    <xdr:graphicFrame macro="">
      <xdr:nvGraphicFramePr>
        <xdr:cNvPr id="1141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earch/2001BBay/01Herring/01hawl/01yrbyag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ocuments%20and%20Settings\cebrazil\My%20Documents\Chuck_Tog-Herring\2006%20Togiak\06%20Herring%20C&amp;E\2005ResidualsFo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ER/TOGIAK/Biomass%20spreadsheets/2016Biomass%20interpolat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HER/TOGIAK/Biomass%20spreadsheets/2017Biomass_sc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17%20purse%20seine%20gillnet%20WAA%20from%20greg%2010-16-1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017/2017Biomass_sc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HER/TOGIAK/Biomass%20spreadsheets/17_Survey_Harves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erring%20survey%20evaluation%20scd2_gbb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Harvest"/>
      <sheetName val="PurseSeine"/>
      <sheetName val="Gillnet"/>
      <sheetName val="AerialSurvey(1)"/>
      <sheetName val="AerialSurvey(2)"/>
      <sheetName val="TOTHRV"/>
      <sheetName val="01ComHarvest"/>
      <sheetName val="01TotRun"/>
      <sheetName val="01TotRunPercent"/>
      <sheetName val="91DUTTOG"/>
      <sheetName val="Template"/>
    </sheetNames>
    <sheetDataSet>
      <sheetData sheetId="0">
        <row r="11">
          <cell r="O11">
            <v>0</v>
          </cell>
        </row>
        <row r="12">
          <cell r="O12">
            <v>9.6466940237864389E-3</v>
          </cell>
        </row>
        <row r="13">
          <cell r="O13">
            <v>7.0135104388148461E-2</v>
          </cell>
        </row>
        <row r="14">
          <cell r="O14">
            <v>2.6125586999123596E-2</v>
          </cell>
        </row>
        <row r="15">
          <cell r="O15">
            <v>3.5664512078253059E-2</v>
          </cell>
        </row>
        <row r="16">
          <cell r="O16">
            <v>0.34566128540236424</v>
          </cell>
        </row>
        <row r="17">
          <cell r="O17">
            <v>0.11071659752093616</v>
          </cell>
        </row>
        <row r="18">
          <cell r="O18">
            <v>0.14464324693193994</v>
          </cell>
        </row>
        <row r="19">
          <cell r="O19">
            <v>8.1620899048279391E-2</v>
          </cell>
        </row>
        <row r="20">
          <cell r="O20">
            <v>7.8172840933457818E-2</v>
          </cell>
        </row>
        <row r="21">
          <cell r="O21">
            <v>5.3238353640804911E-2</v>
          </cell>
        </row>
        <row r="22">
          <cell r="O22">
            <v>3.2503743975431383E-2</v>
          </cell>
        </row>
        <row r="23">
          <cell r="O23">
            <v>7.7264988433513393E-3</v>
          </cell>
        </row>
        <row r="24">
          <cell r="O24">
            <v>2.4769360906100719E-3</v>
          </cell>
        </row>
        <row r="25">
          <cell r="O25">
            <v>1.3837916499425597E-3</v>
          </cell>
        </row>
        <row r="26">
          <cell r="O26">
            <v>2.839084735706183E-4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 vs Est"/>
      <sheetName val="Seine Residuals"/>
      <sheetName val="Total Run Residuals"/>
      <sheetName val="Observed AgeComp"/>
      <sheetName val="BioFit"/>
      <sheetName val="VectorData"/>
      <sheetName val="MatrixData"/>
      <sheetName val="VectorData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Q8">
            <v>0.20420420420420418</v>
          </cell>
          <cell r="R8">
            <v>0.49849849849849842</v>
          </cell>
          <cell r="S8">
            <v>0.27627627627627621</v>
          </cell>
          <cell r="T8">
            <v>1.2012012012012012E-2</v>
          </cell>
          <cell r="U8">
            <v>3.003003003003003E-3</v>
          </cell>
          <cell r="V8">
            <v>6.006006006006006E-3</v>
          </cell>
        </row>
        <row r="9">
          <cell r="Q9">
            <v>9.3252809911187076E-2</v>
          </cell>
          <cell r="R9">
            <v>0.58882028540951403</v>
          </cell>
          <cell r="S9">
            <v>0.24493096371466164</v>
          </cell>
          <cell r="T9">
            <v>6.3452394517634833E-2</v>
          </cell>
          <cell r="U9">
            <v>6.657847498947665E-3</v>
          </cell>
          <cell r="V9">
            <v>2.8856989480548116E-3</v>
          </cell>
        </row>
        <row r="10">
          <cell r="Q10">
            <v>1.2933968686181076E-2</v>
          </cell>
          <cell r="R10">
            <v>1.6413281900007563E-2</v>
          </cell>
          <cell r="S10">
            <v>0.61568716435973081</v>
          </cell>
          <cell r="T10">
            <v>0.30428863172226001</v>
          </cell>
          <cell r="U10">
            <v>4.4625973829513652E-2</v>
          </cell>
          <cell r="V10">
            <v>3.9331366764995077E-3</v>
          </cell>
          <cell r="W10">
            <v>2.1178428258074276E-3</v>
          </cell>
        </row>
        <row r="11">
          <cell r="Q11">
            <v>0.6160714285714286</v>
          </cell>
          <cell r="R11">
            <v>0.1100498338870432</v>
          </cell>
          <cell r="S11">
            <v>2.1698504983388704E-2</v>
          </cell>
          <cell r="T11">
            <v>0.18106312292358803</v>
          </cell>
          <cell r="U11">
            <v>5.7828073089701004E-2</v>
          </cell>
          <cell r="V11">
            <v>1.0589700996677741E-2</v>
          </cell>
          <cell r="W11">
            <v>7.2674418604651162E-4</v>
          </cell>
          <cell r="X11">
            <v>1.9725913621262458E-3</v>
          </cell>
        </row>
        <row r="12">
          <cell r="Q12">
            <v>0.21900172359210665</v>
          </cell>
          <cell r="R12">
            <v>0.66759295086003734</v>
          </cell>
          <cell r="S12">
            <v>4.0346125435294949E-2</v>
          </cell>
          <cell r="T12">
            <v>7.3868233142213946E-4</v>
          </cell>
          <cell r="U12">
            <v>3.6863765872876292E-2</v>
          </cell>
          <cell r="V12">
            <v>1.7904252699708047E-2</v>
          </cell>
          <cell r="W12">
            <v>7.4219986633367336E-3</v>
          </cell>
          <cell r="X12">
            <v>0</v>
          </cell>
          <cell r="Y12">
            <v>1.0130500545217911E-2</v>
          </cell>
        </row>
        <row r="13">
          <cell r="Q13">
            <v>1.537672988211174E-3</v>
          </cell>
          <cell r="R13">
            <v>0.37821060424853359</v>
          </cell>
          <cell r="S13">
            <v>0.47827325018509032</v>
          </cell>
          <cell r="T13">
            <v>2.1641323537786892E-2</v>
          </cell>
          <cell r="U13">
            <v>1.4807221367959453E-2</v>
          </cell>
          <cell r="V13">
            <v>8.3376046471894769E-2</v>
          </cell>
          <cell r="W13">
            <v>1.7199157127399056E-2</v>
          </cell>
          <cell r="X13">
            <v>3.9865595990660066E-3</v>
          </cell>
          <cell r="Y13">
            <v>0</v>
          </cell>
          <cell r="Z13">
            <v>9.681644740588874E-4</v>
          </cell>
        </row>
        <row r="14">
          <cell r="Q14">
            <v>4.9161559700989961E-3</v>
          </cell>
          <cell r="R14">
            <v>6.9499629604687183E-2</v>
          </cell>
          <cell r="S14">
            <v>0.34500639773722136</v>
          </cell>
          <cell r="T14">
            <v>0.43861539497609264</v>
          </cell>
          <cell r="U14">
            <v>4.9767661121961071E-2</v>
          </cell>
          <cell r="V14">
            <v>6.0610142097110915E-2</v>
          </cell>
          <cell r="W14">
            <v>2.828473297865176E-2</v>
          </cell>
          <cell r="X14">
            <v>2.761128695535053E-3</v>
          </cell>
          <cell r="Y14">
            <v>5.3875681864098588E-4</v>
          </cell>
          <cell r="Z14">
            <v>0</v>
          </cell>
          <cell r="AA14">
            <v>0</v>
          </cell>
        </row>
        <row r="15">
          <cell r="Q15">
            <v>4.9566294919454763E-4</v>
          </cell>
          <cell r="R15">
            <v>7.1045022717885157E-3</v>
          </cell>
          <cell r="S15">
            <v>0.10235439900867409</v>
          </cell>
          <cell r="T15">
            <v>0.41272201569599337</v>
          </cell>
          <cell r="U15">
            <v>0.38339529120198257</v>
          </cell>
          <cell r="V15">
            <v>5.625774473358116E-2</v>
          </cell>
          <cell r="W15">
            <v>2.5030978934324655E-2</v>
          </cell>
          <cell r="X15">
            <v>1.2143742255266416E-2</v>
          </cell>
          <cell r="Y15">
            <v>4.9566294919454763E-4</v>
          </cell>
          <cell r="Z15">
            <v>0</v>
          </cell>
          <cell r="AA15">
            <v>0</v>
          </cell>
          <cell r="AB15">
            <v>0</v>
          </cell>
        </row>
        <row r="16">
          <cell r="Q16">
            <v>0</v>
          </cell>
          <cell r="R16">
            <v>2.2361835800234265E-3</v>
          </cell>
          <cell r="S16">
            <v>2.4704504312639756E-2</v>
          </cell>
          <cell r="T16">
            <v>0.19295069747630708</v>
          </cell>
          <cell r="U16">
            <v>0.49227984240229999</v>
          </cell>
          <cell r="V16">
            <v>0.24810989245021825</v>
          </cell>
          <cell r="W16">
            <v>2.4810989245021824E-2</v>
          </cell>
          <cell r="X16">
            <v>1.490789053348951E-2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Q17">
            <v>0</v>
          </cell>
          <cell r="R17">
            <v>4.4991001799640074E-4</v>
          </cell>
          <cell r="S17">
            <v>7.5884823035392915E-2</v>
          </cell>
          <cell r="T17">
            <v>9.8230353929214156E-2</v>
          </cell>
          <cell r="U17">
            <v>0.3075884823035393</v>
          </cell>
          <cell r="V17">
            <v>0.37867426514697056</v>
          </cell>
          <cell r="W17">
            <v>0.10527894421115776</v>
          </cell>
          <cell r="X17">
            <v>2.2345530893821235E-2</v>
          </cell>
          <cell r="Y17">
            <v>1.1547690461907617E-2</v>
          </cell>
          <cell r="Z17">
            <v>0</v>
          </cell>
          <cell r="AA17">
            <v>0</v>
          </cell>
          <cell r="AB17">
            <v>0</v>
          </cell>
        </row>
        <row r="18">
          <cell r="Q18">
            <v>0</v>
          </cell>
          <cell r="R18">
            <v>0</v>
          </cell>
          <cell r="S18">
            <v>2.7384755819260618E-3</v>
          </cell>
          <cell r="T18">
            <v>0.12574167047010501</v>
          </cell>
          <cell r="U18">
            <v>6.7092651757188509E-2</v>
          </cell>
          <cell r="V18">
            <v>0.23185759926973992</v>
          </cell>
          <cell r="W18">
            <v>0.41624828845276141</v>
          </cell>
          <cell r="X18">
            <v>0.12288909173893202</v>
          </cell>
          <cell r="Y18">
            <v>2.7955271565495213E-2</v>
          </cell>
          <cell r="Z18">
            <v>2.7384755819260618E-3</v>
          </cell>
          <cell r="AA18">
            <v>2.7384755819260618E-3</v>
          </cell>
          <cell r="AB18">
            <v>0</v>
          </cell>
        </row>
        <row r="19">
          <cell r="Q19">
            <v>0</v>
          </cell>
          <cell r="R19">
            <v>5.3771254178171775E-3</v>
          </cell>
          <cell r="S19">
            <v>8.9812527248946367E-2</v>
          </cell>
          <cell r="T19">
            <v>5.6241825316087776E-2</v>
          </cell>
          <cell r="U19">
            <v>0.24603981979363465</v>
          </cell>
          <cell r="V19">
            <v>8.094753669524779E-2</v>
          </cell>
          <cell r="W19">
            <v>0.15491934311873273</v>
          </cell>
          <cell r="X19">
            <v>0.21741026013660805</v>
          </cell>
          <cell r="Y19">
            <v>0.12672576660369131</v>
          </cell>
          <cell r="Z19">
            <v>6.5397471297776481E-3</v>
          </cell>
          <cell r="AA19">
            <v>1.1044906263624473E-2</v>
          </cell>
          <cell r="AB19">
            <v>4.9411422758320013E-3</v>
          </cell>
        </row>
        <row r="20">
          <cell r="Q20">
            <v>0</v>
          </cell>
          <cell r="R20">
            <v>3.0659057645875489E-3</v>
          </cell>
          <cell r="S20">
            <v>6.4586519878521903E-2</v>
          </cell>
          <cell r="T20">
            <v>0.14836120163342964</v>
          </cell>
          <cell r="U20">
            <v>5.0775203912038845E-2</v>
          </cell>
          <cell r="V20">
            <v>0.18565470876455253</v>
          </cell>
          <cell r="W20">
            <v>5.9619846498028713E-2</v>
          </cell>
          <cell r="X20">
            <v>0.15476859530747658</v>
          </cell>
          <cell r="Y20">
            <v>0.20706396061700985</v>
          </cell>
          <cell r="Z20">
            <v>9.8083543667149137E-2</v>
          </cell>
          <cell r="AA20">
            <v>1.4814010643789777E-2</v>
          </cell>
          <cell r="AB20">
            <v>1.3206503313415423E-2</v>
          </cell>
        </row>
        <row r="21">
          <cell r="Q21">
            <v>3.8877203031685149E-3</v>
          </cell>
          <cell r="R21">
            <v>0</v>
          </cell>
          <cell r="S21">
            <v>5.7479654140861411E-3</v>
          </cell>
          <cell r="T21">
            <v>0.13244359336394279</v>
          </cell>
          <cell r="U21">
            <v>0.24296902401282192</v>
          </cell>
          <cell r="V21">
            <v>6.2500915399119145E-2</v>
          </cell>
          <cell r="W21">
            <v>0.13777220838402982</v>
          </cell>
          <cell r="X21">
            <v>8.2802288366232685E-2</v>
          </cell>
          <cell r="Y21">
            <v>0.14043360830237817</v>
          </cell>
          <cell r="Z21">
            <v>0.15103765092247684</v>
          </cell>
          <cell r="AA21">
            <v>3.5057270517952752E-2</v>
          </cell>
          <cell r="AB21">
            <v>5.3477550137912338E-3</v>
          </cell>
        </row>
        <row r="22">
          <cell r="Q22">
            <v>4.3166709833376501E-4</v>
          </cell>
          <cell r="R22">
            <v>4.1181041181041177E-2</v>
          </cell>
          <cell r="S22">
            <v>8.2880082880082886E-3</v>
          </cell>
          <cell r="T22">
            <v>4.1008374341707669E-2</v>
          </cell>
          <cell r="U22">
            <v>0.28610895277561943</v>
          </cell>
          <cell r="V22">
            <v>0.27514460847794181</v>
          </cell>
          <cell r="W22">
            <v>3.3238366571699908E-2</v>
          </cell>
          <cell r="X22">
            <v>9.7297763964430628E-2</v>
          </cell>
          <cell r="Y22">
            <v>5.2059052059052056E-2</v>
          </cell>
          <cell r="Z22">
            <v>5.4908054908054907E-2</v>
          </cell>
          <cell r="AA22">
            <v>7.4937408270741607E-2</v>
          </cell>
          <cell r="AB22">
            <v>3.5396702063368729E-2</v>
          </cell>
        </row>
        <row r="23">
          <cell r="Q23">
            <v>0</v>
          </cell>
          <cell r="R23">
            <v>2.2131533511222726E-2</v>
          </cell>
          <cell r="S23">
            <v>0.12038926385182859</v>
          </cell>
          <cell r="T23">
            <v>2.8409982734264635E-2</v>
          </cell>
          <cell r="U23">
            <v>3.9711191335740068E-2</v>
          </cell>
          <cell r="V23">
            <v>0.22727986187411708</v>
          </cell>
          <cell r="W23">
            <v>0.19730026683409194</v>
          </cell>
          <cell r="X23">
            <v>7.4085700831894516E-2</v>
          </cell>
          <cell r="Y23">
            <v>9.5746350651389103E-2</v>
          </cell>
          <cell r="Z23">
            <v>5.8703500235441838E-2</v>
          </cell>
          <cell r="AA23">
            <v>4.1280803641500545E-2</v>
          </cell>
          <cell r="AB23">
            <v>9.4961544498508854E-2</v>
          </cell>
        </row>
        <row r="24">
          <cell r="Q24">
            <v>0</v>
          </cell>
          <cell r="R24">
            <v>9.1419313776543443E-3</v>
          </cell>
          <cell r="S24">
            <v>7.0821038014233645E-2</v>
          </cell>
          <cell r="T24">
            <v>0.18092923682231096</v>
          </cell>
          <cell r="U24">
            <v>3.3501128276340914E-2</v>
          </cell>
          <cell r="V24">
            <v>0.10004050222762254</v>
          </cell>
          <cell r="W24">
            <v>0.21061158363710009</v>
          </cell>
          <cell r="X24">
            <v>0.14893247700052076</v>
          </cell>
          <cell r="Y24">
            <v>5.618237574495169E-2</v>
          </cell>
          <cell r="Z24">
            <v>5.2942197535150157E-2</v>
          </cell>
          <cell r="AA24">
            <v>2.7252213157437945E-2</v>
          </cell>
          <cell r="AB24">
            <v>0.1096453162066771</v>
          </cell>
        </row>
        <row r="25">
          <cell r="Q25">
            <v>0</v>
          </cell>
          <cell r="R25">
            <v>4.1818427087548906E-3</v>
          </cell>
          <cell r="S25">
            <v>0</v>
          </cell>
          <cell r="T25">
            <v>1.9762579252664239E-2</v>
          </cell>
          <cell r="U25">
            <v>0.16167543504653986</v>
          </cell>
          <cell r="V25">
            <v>4.3976797517874013E-2</v>
          </cell>
          <cell r="W25">
            <v>6.8393363010926758E-2</v>
          </cell>
          <cell r="X25">
            <v>0.1594496155402671</v>
          </cell>
          <cell r="Y25">
            <v>0.16909483340078243</v>
          </cell>
          <cell r="Z25">
            <v>0.12282476730068799</v>
          </cell>
          <cell r="AA25">
            <v>7.6554701200593558E-2</v>
          </cell>
          <cell r="AB25">
            <v>0.17408606502090923</v>
          </cell>
        </row>
        <row r="26">
          <cell r="Q26">
            <v>0</v>
          </cell>
          <cell r="R26">
            <v>0</v>
          </cell>
          <cell r="S26">
            <v>1.4711782800588471E-3</v>
          </cell>
          <cell r="T26">
            <v>1.4711782800588472E-2</v>
          </cell>
          <cell r="U26">
            <v>0.11314698408452588</v>
          </cell>
          <cell r="V26">
            <v>0.27597967099103921</v>
          </cell>
          <cell r="W26">
            <v>0.13815701484552628</v>
          </cell>
          <cell r="X26">
            <v>9.4757255583790306E-2</v>
          </cell>
          <cell r="Y26">
            <v>8.9942490303597702E-2</v>
          </cell>
          <cell r="Z26">
            <v>0.12491641032499667</v>
          </cell>
          <cell r="AA26">
            <v>7.4695733582987839E-2</v>
          </cell>
          <cell r="AB26">
            <v>7.2221479202888864E-2</v>
          </cell>
        </row>
        <row r="27">
          <cell r="Q27">
            <v>2.6086520292302805E-3</v>
          </cell>
          <cell r="R27">
            <v>4.6821959499005038E-3</v>
          </cell>
          <cell r="S27">
            <v>1.1789100516713768E-2</v>
          </cell>
          <cell r="T27">
            <v>3.4614805772478725E-2</v>
          </cell>
          <cell r="U27">
            <v>4.8076119128442667E-2</v>
          </cell>
          <cell r="V27">
            <v>0.23218675272988751</v>
          </cell>
          <cell r="W27">
            <v>0.22725372485409945</v>
          </cell>
          <cell r="X27">
            <v>0.17232153308473103</v>
          </cell>
          <cell r="Y27">
            <v>5.3678032139930776E-2</v>
          </cell>
          <cell r="Z27">
            <v>6.5634353940569559E-2</v>
          </cell>
          <cell r="AA27">
            <v>7.3828196852895447E-2</v>
          </cell>
          <cell r="AB27">
            <v>7.3326533001120395E-2</v>
          </cell>
        </row>
        <row r="28">
          <cell r="Q28">
            <v>0</v>
          </cell>
          <cell r="R28">
            <v>3.923956430552736E-3</v>
          </cell>
          <cell r="S28">
            <v>1.752249509505446E-2</v>
          </cell>
          <cell r="T28">
            <v>0.11900412691969417</v>
          </cell>
          <cell r="U28">
            <v>0.12001894323794059</v>
          </cell>
          <cell r="V28">
            <v>0.12015425208037343</v>
          </cell>
          <cell r="W28">
            <v>0.1425478655030106</v>
          </cell>
          <cell r="X28">
            <v>0.21317908125295984</v>
          </cell>
          <cell r="Y28">
            <v>0.15655233069481089</v>
          </cell>
          <cell r="Z28">
            <v>5.4529463500439745E-2</v>
          </cell>
          <cell r="AA28">
            <v>2.442324605912996E-2</v>
          </cell>
          <cell r="AB28">
            <v>2.8144239226033416E-2</v>
          </cell>
        </row>
        <row r="29">
          <cell r="Q29">
            <v>0</v>
          </cell>
          <cell r="R29">
            <v>0</v>
          </cell>
          <cell r="S29">
            <v>2.4934934094534462E-2</v>
          </cell>
          <cell r="T29">
            <v>4.1558223490890778E-2</v>
          </cell>
          <cell r="U29">
            <v>0.13575686340357654</v>
          </cell>
          <cell r="V29">
            <v>0.13298631517085049</v>
          </cell>
          <cell r="W29">
            <v>0.11913357400722023</v>
          </cell>
          <cell r="X29">
            <v>0.18831332381831919</v>
          </cell>
          <cell r="Y29">
            <v>0.18831332381831919</v>
          </cell>
          <cell r="Z29">
            <v>0.11082192930904207</v>
          </cell>
          <cell r="AA29">
            <v>3.0476030559986569E-2</v>
          </cell>
          <cell r="AB29">
            <v>2.7705482327260517E-2</v>
          </cell>
        </row>
        <row r="30">
          <cell r="Q30">
            <v>3.7527762885808378E-3</v>
          </cell>
          <cell r="R30">
            <v>6.1269816956421841E-4</v>
          </cell>
          <cell r="S30">
            <v>6.2035689668377119E-3</v>
          </cell>
          <cell r="T30">
            <v>0.15692731867963544</v>
          </cell>
          <cell r="U30">
            <v>0.15485946235735618</v>
          </cell>
          <cell r="V30">
            <v>0.16918128207091981</v>
          </cell>
          <cell r="W30">
            <v>9.1981312705828294E-2</v>
          </cell>
          <cell r="X30">
            <v>0.17101937657961247</v>
          </cell>
          <cell r="Y30">
            <v>8.0493222026499195E-2</v>
          </cell>
          <cell r="Z30">
            <v>8.9377345485180365E-2</v>
          </cell>
          <cell r="AA30">
            <v>4.8939266293941949E-2</v>
          </cell>
          <cell r="AB30">
            <v>2.66523703760435E-2</v>
          </cell>
        </row>
        <row r="31">
          <cell r="Q31">
            <v>0</v>
          </cell>
          <cell r="R31">
            <v>2.5051091040938756E-3</v>
          </cell>
          <cell r="S31">
            <v>3.8235875799327579E-3</v>
          </cell>
          <cell r="T31">
            <v>4.1532071988924779E-2</v>
          </cell>
          <cell r="U31">
            <v>0.48796888390797022</v>
          </cell>
          <cell r="V31">
            <v>0.12901311886083461</v>
          </cell>
          <cell r="W31">
            <v>0.15696486254861888</v>
          </cell>
          <cell r="X31">
            <v>7.5351044894192101E-2</v>
          </cell>
          <cell r="Y31">
            <v>6.6319467334695764E-2</v>
          </cell>
          <cell r="Z31">
            <v>2.3073373327180433E-2</v>
          </cell>
          <cell r="AA31">
            <v>1.1075219197046609E-2</v>
          </cell>
          <cell r="AB31">
            <v>2.3732612565099871E-3</v>
          </cell>
        </row>
        <row r="32">
          <cell r="Q32">
            <v>0</v>
          </cell>
          <cell r="R32">
            <v>7.6200152400304789E-3</v>
          </cell>
          <cell r="S32">
            <v>6.0790788248243154E-2</v>
          </cell>
          <cell r="T32">
            <v>5.8081449496232319E-2</v>
          </cell>
          <cell r="U32">
            <v>0.13580560494454322</v>
          </cell>
          <cell r="V32">
            <v>0.36728473456946908</v>
          </cell>
          <cell r="W32">
            <v>0.15299297265261194</v>
          </cell>
          <cell r="X32">
            <v>0.10219287105240876</v>
          </cell>
          <cell r="Y32">
            <v>5.9605452544238408E-2</v>
          </cell>
          <cell r="Z32">
            <v>2.455338244009821E-2</v>
          </cell>
          <cell r="AA32">
            <v>2.5146050292100579E-2</v>
          </cell>
          <cell r="AB32">
            <v>5.9266785200237067E-3</v>
          </cell>
        </row>
        <row r="33">
          <cell r="Q33">
            <v>0</v>
          </cell>
          <cell r="R33">
            <v>2.1868379689742364E-3</v>
          </cell>
          <cell r="S33">
            <v>9.8544385976901516E-2</v>
          </cell>
          <cell r="T33">
            <v>0.31804824711269047</v>
          </cell>
          <cell r="U33">
            <v>0.10558327068953734</v>
          </cell>
          <cell r="V33">
            <v>0.12123282990500922</v>
          </cell>
          <cell r="W33">
            <v>0.17986742294813093</v>
          </cell>
          <cell r="X33">
            <v>6.9432105514931994E-2</v>
          </cell>
          <cell r="Y33">
            <v>5.2484111255381667E-2</v>
          </cell>
          <cell r="Z33">
            <v>3.3622633772978881E-2</v>
          </cell>
          <cell r="AA33">
            <v>1.093418984487118E-2</v>
          </cell>
          <cell r="AB33">
            <v>8.063965010592495E-3</v>
          </cell>
        </row>
        <row r="34">
          <cell r="Q34">
            <v>0</v>
          </cell>
          <cell r="R34">
            <v>0</v>
          </cell>
          <cell r="S34">
            <v>9.7827109397046353E-3</v>
          </cell>
          <cell r="T34">
            <v>0.13347756561000845</v>
          </cell>
          <cell r="U34">
            <v>0.27128209952027083</v>
          </cell>
          <cell r="V34">
            <v>0.13084375881854951</v>
          </cell>
          <cell r="W34">
            <v>0.1774997648386793</v>
          </cell>
          <cell r="X34">
            <v>9.5757689775185756E-2</v>
          </cell>
          <cell r="Y34">
            <v>0.11052582071300911</v>
          </cell>
          <cell r="Z34">
            <v>3.4145423760699831E-2</v>
          </cell>
          <cell r="AA34">
            <v>2.1634841501269868E-2</v>
          </cell>
          <cell r="AB34">
            <v>1.5050324522622517E-2</v>
          </cell>
        </row>
        <row r="44">
          <cell r="B44">
            <v>0.69465648854961826</v>
          </cell>
          <cell r="C44">
            <v>0.22476675148430869</v>
          </cell>
          <cell r="D44">
            <v>6.5309584393553846E-2</v>
          </cell>
          <cell r="E44">
            <v>5.9372349448685319E-3</v>
          </cell>
          <cell r="F44">
            <v>6.7854113655640364E-3</v>
          </cell>
          <cell r="G44">
            <v>2.5445292620865133E-3</v>
          </cell>
          <cell r="Q44">
            <v>0.24275227907276531</v>
          </cell>
          <cell r="R44">
            <v>0.45009345969481385</v>
          </cell>
          <cell r="S44">
            <v>0.22967365422892569</v>
          </cell>
          <cell r="T44">
            <v>3.3258192720751175E-3</v>
          </cell>
          <cell r="U44">
            <v>6.246151334327029E-2</v>
          </cell>
          <cell r="V44">
            <v>1.1693274388149698E-2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</row>
        <row r="45">
          <cell r="B45">
            <v>0.13450723429817607</v>
          </cell>
          <cell r="C45">
            <v>0.49711276955029143</v>
          </cell>
          <cell r="D45">
            <v>0.29250271564174529</v>
          </cell>
          <cell r="E45">
            <v>7.1476295784462157E-2</v>
          </cell>
          <cell r="F45">
            <v>1.0576375241027262E-3</v>
          </cell>
          <cell r="G45">
            <v>3.3433472012221969E-3</v>
          </cell>
          <cell r="Q45">
            <v>1.4757257935736167E-2</v>
          </cell>
          <cell r="R45">
            <v>0.34099850061568399</v>
          </cell>
          <cell r="S45">
            <v>0.4496568981467679</v>
          </cell>
          <cell r="T45">
            <v>0.15665022870985623</v>
          </cell>
          <cell r="U45">
            <v>1.6678417489938203E-3</v>
          </cell>
          <cell r="V45">
            <v>3.6269272842961858E-2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</row>
        <row r="46">
          <cell r="B46">
            <v>8.5125300490664219E-3</v>
          </cell>
          <cell r="C46">
            <v>5.762834656041097E-3</v>
          </cell>
          <cell r="D46">
            <v>0.44510488359074002</v>
          </cell>
          <cell r="E46">
            <v>0.42654855599828762</v>
          </cell>
          <cell r="F46">
            <v>8.4022129285079197E-2</v>
          </cell>
          <cell r="G46">
            <v>3.6882141798663028E-3</v>
          </cell>
          <cell r="H46">
            <v>2.636085224091942E-2</v>
          </cell>
          <cell r="Q46">
            <v>3.1365687010593502E-2</v>
          </cell>
          <cell r="R46">
            <v>2.3849517619062763E-2</v>
          </cell>
          <cell r="S46">
            <v>0.41373108437911182</v>
          </cell>
          <cell r="T46">
            <v>0.3971697166041861</v>
          </cell>
          <cell r="U46">
            <v>0.11117769776886932</v>
          </cell>
          <cell r="V46">
            <v>6.6961812244208606E-4</v>
          </cell>
          <cell r="W46">
            <v>2.2036678495734433E-2</v>
          </cell>
          <cell r="AG46">
            <v>-2.285315696152708E-2</v>
          </cell>
          <cell r="AH46">
            <v>-1.8086682963021666E-2</v>
          </cell>
          <cell r="AI46">
            <v>3.1373799211628195E-2</v>
          </cell>
          <cell r="AJ46">
            <v>2.9378839394101519E-2</v>
          </cell>
          <cell r="AK46">
            <v>-2.7155568483790124E-2</v>
          </cell>
          <cell r="AL46">
            <v>3.0185960574242165E-3</v>
          </cell>
          <cell r="AM46">
            <v>4.3241737451849872E-3</v>
          </cell>
          <cell r="AW46">
            <v>-2.285315696152708E-2</v>
          </cell>
          <cell r="AX46">
            <v>-1.8086682963021666E-2</v>
          </cell>
          <cell r="AY46">
            <v>3.1373799211628195E-2</v>
          </cell>
          <cell r="AZ46">
            <v>2.9378839394101519E-2</v>
          </cell>
          <cell r="BA46">
            <v>-2.7155568483790124E-2</v>
          </cell>
          <cell r="BB46">
            <v>3.0185960574242165E-3</v>
          </cell>
          <cell r="BC46">
            <v>4.3241737451849872E-3</v>
          </cell>
        </row>
        <row r="47">
          <cell r="B47">
            <v>0.49296274693784392</v>
          </cell>
          <cell r="C47">
            <v>8.0186645702837719E-2</v>
          </cell>
          <cell r="D47">
            <v>1.5596074353967489E-2</v>
          </cell>
          <cell r="E47">
            <v>0.23330712854715591</v>
          </cell>
          <cell r="F47">
            <v>0.12408388912839499</v>
          </cell>
          <cell r="G47">
            <v>4.7904039763649736E-2</v>
          </cell>
          <cell r="H47">
            <v>1.7244439936094135E-3</v>
          </cell>
          <cell r="I47">
            <v>4.2350315725407659E-3</v>
          </cell>
          <cell r="Q47">
            <v>0.37817905943006497</v>
          </cell>
          <cell r="R47">
            <v>4.5407162348929539E-2</v>
          </cell>
          <cell r="S47">
            <v>2.437276802125701E-2</v>
          </cell>
          <cell r="T47">
            <v>0.2762583874739783</v>
          </cell>
          <cell r="U47">
            <v>0.21103937945311421</v>
          </cell>
          <cell r="V47">
            <v>5.5078688483575888E-2</v>
          </cell>
          <cell r="W47">
            <v>1.6644361699462047E-4</v>
          </cell>
          <cell r="X47">
            <v>9.4981111720853339E-3</v>
          </cell>
          <cell r="AG47">
            <v>0.11478368750777895</v>
          </cell>
          <cell r="AH47">
            <v>3.477948335390818E-2</v>
          </cell>
          <cell r="AI47">
            <v>-8.7766936672895209E-3</v>
          </cell>
          <cell r="AJ47">
            <v>-4.2951258926822389E-2</v>
          </cell>
          <cell r="AK47">
            <v>-8.695549032471922E-2</v>
          </cell>
          <cell r="AL47">
            <v>-7.1746487199261522E-3</v>
          </cell>
          <cell r="AM47">
            <v>1.5580003766147931E-3</v>
          </cell>
          <cell r="AN47">
            <v>-5.263079599544568E-3</v>
          </cell>
          <cell r="AW47">
            <v>0.11478368750777895</v>
          </cell>
          <cell r="AX47">
            <v>3.477948335390818E-2</v>
          </cell>
          <cell r="AY47">
            <v>-8.7766936672895209E-3</v>
          </cell>
          <cell r="AZ47">
            <v>-4.2951258926822389E-2</v>
          </cell>
          <cell r="BA47">
            <v>-8.695549032471922E-2</v>
          </cell>
          <cell r="BB47">
            <v>-7.1746487199261522E-3</v>
          </cell>
          <cell r="BC47">
            <v>1.5580003766147931E-3</v>
          </cell>
          <cell r="BD47">
            <v>-5.263079599544568E-3</v>
          </cell>
        </row>
        <row r="48">
          <cell r="B48">
            <v>0.21654536544639449</v>
          </cell>
          <cell r="C48">
            <v>0.5511552353122674</v>
          </cell>
          <cell r="D48">
            <v>3.3740494037787894E-2</v>
          </cell>
          <cell r="E48">
            <v>8.3307621104597336E-3</v>
          </cell>
          <cell r="F48">
            <v>0.12432618835871279</v>
          </cell>
          <cell r="G48">
            <v>5.3850481877416187E-2</v>
          </cell>
          <cell r="H48">
            <v>8.6211590467720547E-3</v>
          </cell>
          <cell r="I48">
            <v>1.9601793201081724E-3</v>
          </cell>
          <cell r="J48">
            <v>1.4701344900811294E-3</v>
          </cell>
          <cell r="Q48">
            <v>0.20289952732352695</v>
          </cell>
          <cell r="R48">
            <v>0.46786052904437031</v>
          </cell>
          <cell r="S48">
            <v>4.0330632125998959E-2</v>
          </cell>
          <cell r="T48">
            <v>1.5594047689207215E-2</v>
          </cell>
          <cell r="U48">
            <v>0.14283866599110667</v>
          </cell>
          <cell r="V48">
            <v>0.1025408537295204</v>
          </cell>
          <cell r="W48">
            <v>2.4078003582220463E-2</v>
          </cell>
          <cell r="X48">
            <v>5.9357600704009437E-5</v>
          </cell>
          <cell r="Y48">
            <v>3.7983829133449542E-3</v>
          </cell>
          <cell r="AG48">
            <v>1.3645838122867543E-2</v>
          </cell>
          <cell r="AH48">
            <v>8.329470626789709E-2</v>
          </cell>
          <cell r="AI48">
            <v>-6.5901380882110658E-3</v>
          </cell>
          <cell r="AJ48">
            <v>-7.2632855787474818E-3</v>
          </cell>
          <cell r="AK48">
            <v>-1.8512477632393887E-2</v>
          </cell>
          <cell r="AL48">
            <v>-4.8690371852104217E-2</v>
          </cell>
          <cell r="AM48">
            <v>-1.5456844535448409E-2</v>
          </cell>
          <cell r="AN48">
            <v>1.900821719404163E-3</v>
          </cell>
          <cell r="AO48">
            <v>-2.3282484232638248E-3</v>
          </cell>
          <cell r="AW48">
            <v>1.3645838122867543E-2</v>
          </cell>
          <cell r="AX48">
            <v>8.329470626789709E-2</v>
          </cell>
          <cell r="AY48">
            <v>-6.5901380882110658E-3</v>
          </cell>
          <cell r="AZ48">
            <v>-7.2632855787474818E-3</v>
          </cell>
          <cell r="BA48">
            <v>-1.8512477632393887E-2</v>
          </cell>
          <cell r="BB48">
            <v>-4.8690371852104217E-2</v>
          </cell>
          <cell r="BC48">
            <v>-1.5456844535448409E-2</v>
          </cell>
          <cell r="BD48">
            <v>1.900821719404163E-3</v>
          </cell>
          <cell r="BE48">
            <v>-2.3282484232638248E-3</v>
          </cell>
        </row>
        <row r="49">
          <cell r="B49">
            <v>1.6354436911433769E-2</v>
          </cell>
          <cell r="C49">
            <v>0.26905270400045866</v>
          </cell>
          <cell r="D49">
            <v>0.58315535998394652</v>
          </cell>
          <cell r="E49">
            <v>1.8776785586308711E-2</v>
          </cell>
          <cell r="F49">
            <v>1.8246448894176325E-2</v>
          </cell>
          <cell r="G49">
            <v>7.1452119196754912E-2</v>
          </cell>
          <cell r="H49">
            <v>2.2962145426921036E-2</v>
          </cell>
          <cell r="I49">
            <v>0</v>
          </cell>
          <cell r="J49">
            <v>0</v>
          </cell>
          <cell r="K49">
            <v>0</v>
          </cell>
          <cell r="Q49">
            <v>5.5754966262159533E-2</v>
          </cell>
          <cell r="R49">
            <v>0.28632071795041969</v>
          </cell>
          <cell r="S49">
            <v>0.47515078297405533</v>
          </cell>
          <cell r="T49">
            <v>2.9100457687207582E-2</v>
          </cell>
          <cell r="U49">
            <v>9.4550512736113895E-3</v>
          </cell>
          <cell r="V49">
            <v>7.9672178812290148E-2</v>
          </cell>
          <cell r="W49">
            <v>5.1606492745890964E-2</v>
          </cell>
          <cell r="X49">
            <v>1.1506453120012685E-2</v>
          </cell>
          <cell r="Y49">
            <v>2.7645459459648307E-5</v>
          </cell>
          <cell r="Z49">
            <v>1.405253714892869E-3</v>
          </cell>
          <cell r="AG49">
            <v>-3.9400529350725765E-2</v>
          </cell>
          <cell r="AH49">
            <v>-1.7268013949961025E-2</v>
          </cell>
          <cell r="AI49">
            <v>0.10800457700989119</v>
          </cell>
          <cell r="AJ49">
            <v>-1.0323672100898872E-2</v>
          </cell>
          <cell r="AK49">
            <v>8.7913976205649356E-3</v>
          </cell>
          <cell r="AL49">
            <v>-8.2200596155352357E-3</v>
          </cell>
          <cell r="AM49">
            <v>-2.8644347318969927E-2</v>
          </cell>
          <cell r="AN49">
            <v>-1.1506453120012685E-2</v>
          </cell>
          <cell r="AO49">
            <v>-2.7645459459648307E-5</v>
          </cell>
          <cell r="AP49">
            <v>-1.405253714892869E-3</v>
          </cell>
          <cell r="AW49">
            <v>-3.9400529350725765E-2</v>
          </cell>
          <cell r="AX49">
            <v>-1.7268013949961025E-2</v>
          </cell>
          <cell r="AY49">
            <v>0.10800457700989119</v>
          </cell>
          <cell r="AZ49">
            <v>-1.0323672100898872E-2</v>
          </cell>
          <cell r="BA49">
            <v>8.7913976205649356E-3</v>
          </cell>
          <cell r="BB49">
            <v>-8.2200596155352357E-3</v>
          </cell>
          <cell r="BC49">
            <v>-2.8644347318969927E-2</v>
          </cell>
          <cell r="BD49">
            <v>-1.1506453120012685E-2</v>
          </cell>
          <cell r="BE49">
            <v>-2.7645459459648307E-5</v>
          </cell>
          <cell r="BF49">
            <v>-1.405253714892869E-3</v>
          </cell>
        </row>
        <row r="50">
          <cell r="B50">
            <v>2.3327464788732394E-3</v>
          </cell>
          <cell r="C50">
            <v>5.5193661971830989E-2</v>
          </cell>
          <cell r="D50">
            <v>0.3650088028169014</v>
          </cell>
          <cell r="E50">
            <v>0.43492517605633807</v>
          </cell>
          <cell r="F50">
            <v>2.6034330985915496E-2</v>
          </cell>
          <cell r="G50">
            <v>7.4229753521126762E-2</v>
          </cell>
          <cell r="H50">
            <v>3.7037852112676059E-2</v>
          </cell>
          <cell r="I50">
            <v>5.2376760563380281E-3</v>
          </cell>
          <cell r="J50">
            <v>0</v>
          </cell>
          <cell r="K50">
            <v>0</v>
          </cell>
          <cell r="L50">
            <v>0</v>
          </cell>
          <cell r="Q50">
            <v>1.3307701164820114E-2</v>
          </cell>
          <cell r="R50">
            <v>9.5400914059103489E-2</v>
          </cell>
          <cell r="S50">
            <v>0.3562229638652854</v>
          </cell>
          <cell r="T50">
            <v>0.42279555220608228</v>
          </cell>
          <cell r="U50">
            <v>2.1031020966584772E-2</v>
          </cell>
          <cell r="V50">
            <v>6.2246401813059304E-3</v>
          </cell>
          <cell r="W50">
            <v>4.7700455626672723E-2</v>
          </cell>
          <cell r="X50">
            <v>3.0169274048059403E-2</v>
          </cell>
          <cell r="Y50">
            <v>6.4269287664142612E-3</v>
          </cell>
          <cell r="Z50">
            <v>1.4864601663382937E-5</v>
          </cell>
          <cell r="AA50">
            <v>7.0568451400844544E-4</v>
          </cell>
          <cell r="AG50">
            <v>-1.0974954685946874E-2</v>
          </cell>
          <cell r="AH50">
            <v>-4.0207252087272501E-2</v>
          </cell>
          <cell r="AI50">
            <v>8.7858389516159985E-3</v>
          </cell>
          <cell r="AJ50">
            <v>1.2129623850255788E-2</v>
          </cell>
          <cell r="AK50">
            <v>5.0033100193307249E-3</v>
          </cell>
          <cell r="AL50">
            <v>6.800511333982083E-2</v>
          </cell>
          <cell r="AM50">
            <v>-1.0662603513996664E-2</v>
          </cell>
          <cell r="AN50">
            <v>-2.4931597991721375E-2</v>
          </cell>
          <cell r="AO50">
            <v>-6.4269287664142612E-3</v>
          </cell>
          <cell r="AP50">
            <v>-1.4864601663382937E-5</v>
          </cell>
          <cell r="AQ50">
            <v>-7.0568451400844544E-4</v>
          </cell>
          <cell r="AW50">
            <v>-1.0974954685946874E-2</v>
          </cell>
          <cell r="AX50">
            <v>-4.0207252087272501E-2</v>
          </cell>
          <cell r="AY50">
            <v>8.7858389516159985E-3</v>
          </cell>
          <cell r="AZ50">
            <v>1.2129623850255788E-2</v>
          </cell>
          <cell r="BA50">
            <v>5.0033100193307249E-3</v>
          </cell>
          <cell r="BB50">
            <v>6.800511333982083E-2</v>
          </cell>
          <cell r="BC50">
            <v>-1.0662603513996664E-2</v>
          </cell>
          <cell r="BD50">
            <v>-2.4931597991721375E-2</v>
          </cell>
          <cell r="BE50">
            <v>-6.4269287664142612E-3</v>
          </cell>
          <cell r="BF50">
            <v>-1.4864601663382937E-5</v>
          </cell>
          <cell r="BG50">
            <v>-7.0568451400844544E-4</v>
          </cell>
        </row>
        <row r="51">
          <cell r="B51">
            <v>1.7986614612381484E-2</v>
          </cell>
          <cell r="C51">
            <v>1.7707752370329059E-2</v>
          </cell>
          <cell r="D51">
            <v>8.4355828220858894E-2</v>
          </cell>
          <cell r="E51">
            <v>0.32775027886224206</v>
          </cell>
          <cell r="F51">
            <v>0.41541759620747354</v>
          </cell>
          <cell r="G51">
            <v>7.3218767428890122E-2</v>
          </cell>
          <cell r="H51">
            <v>4.1986196319018405E-2</v>
          </cell>
          <cell r="I51">
            <v>1.6069436698271055E-2</v>
          </cell>
          <cell r="J51">
            <v>5.4726715002788627E-3</v>
          </cell>
          <cell r="K51">
            <v>3.4857780256553265E-5</v>
          </cell>
          <cell r="L51">
            <v>0</v>
          </cell>
          <cell r="M51">
            <v>0</v>
          </cell>
          <cell r="Q51">
            <v>2.8444044623389286E-2</v>
          </cell>
          <cell r="R51">
            <v>2.5924780983551526E-2</v>
          </cell>
          <cell r="S51">
            <v>0.13735943128811526</v>
          </cell>
          <cell r="T51">
            <v>0.37095765645070011</v>
          </cell>
          <cell r="U51">
            <v>0.35960528774100869</v>
          </cell>
          <cell r="V51">
            <v>1.6347156150830912E-2</v>
          </cell>
          <cell r="W51">
            <v>3.7441207848521985E-3</v>
          </cell>
          <cell r="X51">
            <v>3.298868005093844E-2</v>
          </cell>
          <cell r="Y51">
            <v>2.0124472433664914E-2</v>
          </cell>
          <cell r="Z51">
            <v>4.089299083808692E-3</v>
          </cell>
          <cell r="AA51">
            <v>9.0127868759881498E-6</v>
          </cell>
          <cell r="AB51">
            <v>4.0605762226378486E-4</v>
          </cell>
          <cell r="AG51">
            <v>-1.0457430011007803E-2</v>
          </cell>
          <cell r="AH51">
            <v>-8.2170286132224671E-3</v>
          </cell>
          <cell r="AI51">
            <v>-5.3003603067256364E-2</v>
          </cell>
          <cell r="AJ51">
            <v>-4.3207377588458051E-2</v>
          </cell>
          <cell r="AK51">
            <v>5.5812308466464844E-2</v>
          </cell>
          <cell r="AL51">
            <v>5.687161127805921E-2</v>
          </cell>
          <cell r="AM51">
            <v>3.8242075534166205E-2</v>
          </cell>
          <cell r="AN51">
            <v>-1.6919243352667385E-2</v>
          </cell>
          <cell r="AO51">
            <v>-1.4651800933386052E-2</v>
          </cell>
          <cell r="AP51">
            <v>-4.0544413035521389E-3</v>
          </cell>
          <cell r="AQ51">
            <v>-9.0127868759881498E-6</v>
          </cell>
          <cell r="AR51">
            <v>-4.0605762226378486E-4</v>
          </cell>
          <cell r="AW51">
            <v>-1.0457430011007803E-2</v>
          </cell>
          <cell r="AX51">
            <v>-8.2170286132224671E-3</v>
          </cell>
          <cell r="AY51">
            <v>-5.3003603067256364E-2</v>
          </cell>
          <cell r="AZ51">
            <v>-4.3207377588458051E-2</v>
          </cell>
          <cell r="BA51">
            <v>5.5812308466464844E-2</v>
          </cell>
          <cell r="BB51">
            <v>5.687161127805921E-2</v>
          </cell>
          <cell r="BC51">
            <v>3.8242075534166205E-2</v>
          </cell>
          <cell r="BD51">
            <v>-1.6919243352667385E-2</v>
          </cell>
          <cell r="BE51">
            <v>-1.4651800933386052E-2</v>
          </cell>
          <cell r="BF51">
            <v>-4.0544413035521389E-3</v>
          </cell>
          <cell r="BG51">
            <v>-9.0127868759881498E-6</v>
          </cell>
          <cell r="BH51">
            <v>-4.0605762226378486E-4</v>
          </cell>
        </row>
        <row r="52">
          <cell r="B52">
            <v>0</v>
          </cell>
          <cell r="C52">
            <v>2.2840679577046455E-2</v>
          </cell>
          <cell r="D52">
            <v>2.0642746821908042E-2</v>
          </cell>
          <cell r="E52">
            <v>0.16270642746821909</v>
          </cell>
          <cell r="F52">
            <v>0.41656766068670548</v>
          </cell>
          <cell r="G52">
            <v>0.29909706546275394</v>
          </cell>
          <cell r="H52">
            <v>4.1968634905548294E-2</v>
          </cell>
          <cell r="I52">
            <v>2.518712130212665E-2</v>
          </cell>
          <cell r="J52">
            <v>8.7620292265652849E-3</v>
          </cell>
          <cell r="K52">
            <v>2.2276345491267671E-3</v>
          </cell>
          <cell r="L52">
            <v>0</v>
          </cell>
          <cell r="M52">
            <v>0</v>
          </cell>
          <cell r="Q52">
            <v>6.1553704187996125E-3</v>
          </cell>
          <cell r="R52">
            <v>6.2413294046455389E-2</v>
          </cell>
          <cell r="S52">
            <v>4.2020889589409506E-2</v>
          </cell>
          <cell r="T52">
            <v>0.16059365633057163</v>
          </cell>
          <cell r="U52">
            <v>0.35249822658633972</v>
          </cell>
          <cell r="V52">
            <v>0.31943014428489924</v>
          </cell>
          <cell r="W52">
            <v>1.2619468548807883E-2</v>
          </cell>
          <cell r="X52">
            <v>2.6342750781474691E-3</v>
          </cell>
          <cell r="Y52">
            <v>2.4375445116118579E-2</v>
          </cell>
          <cell r="Z52">
            <v>1.4251334860894983E-2</v>
          </cell>
          <cell r="AA52">
            <v>2.7563428694311696E-3</v>
          </cell>
          <cell r="AB52">
            <v>2.515522701247283E-4</v>
          </cell>
          <cell r="AG52">
            <v>-6.1553704187996125E-3</v>
          </cell>
          <cell r="AH52">
            <v>-3.9572614469408934E-2</v>
          </cell>
          <cell r="AI52">
            <v>-2.1378142767501464E-2</v>
          </cell>
          <cell r="AJ52">
            <v>2.1127711376474623E-3</v>
          </cell>
          <cell r="AK52">
            <v>6.4069434100365752E-2</v>
          </cell>
          <cell r="AL52">
            <v>-2.0333078822145301E-2</v>
          </cell>
          <cell r="AM52">
            <v>2.9349166356740411E-2</v>
          </cell>
          <cell r="AN52">
            <v>2.255284622397918E-2</v>
          </cell>
          <cell r="AO52">
            <v>-1.5613415889553294E-2</v>
          </cell>
          <cell r="AP52">
            <v>-1.2023700311768215E-2</v>
          </cell>
          <cell r="AQ52">
            <v>-2.7563428694311696E-3</v>
          </cell>
          <cell r="AR52">
            <v>-2.515522701247283E-4</v>
          </cell>
          <cell r="AW52">
            <v>-6.1553704187996125E-3</v>
          </cell>
          <cell r="AX52">
            <v>-3.9572614469408934E-2</v>
          </cell>
          <cell r="AY52">
            <v>-2.1378142767501464E-2</v>
          </cell>
          <cell r="AZ52">
            <v>2.1127711376474623E-3</v>
          </cell>
          <cell r="BA52">
            <v>6.4069434100365752E-2</v>
          </cell>
          <cell r="BB52">
            <v>-2.0333078822145301E-2</v>
          </cell>
          <cell r="BC52">
            <v>2.9349166356740411E-2</v>
          </cell>
          <cell r="BD52">
            <v>2.255284622397918E-2</v>
          </cell>
          <cell r="BE52">
            <v>-1.5613415889553294E-2</v>
          </cell>
          <cell r="BF52">
            <v>-1.2023700311768215E-2</v>
          </cell>
          <cell r="BG52">
            <v>-2.7563428694311696E-3</v>
          </cell>
          <cell r="BH52">
            <v>-2.515522701247283E-4</v>
          </cell>
        </row>
        <row r="53">
          <cell r="B53">
            <v>2.354686794400361E-3</v>
          </cell>
          <cell r="C53">
            <v>1.0321914715179666E-3</v>
          </cell>
          <cell r="D53">
            <v>0.10150958002709501</v>
          </cell>
          <cell r="E53">
            <v>0.10725114508741371</v>
          </cell>
          <cell r="F53">
            <v>0.25662860460615444</v>
          </cell>
          <cell r="G53">
            <v>0.42671440552222434</v>
          </cell>
          <cell r="H53">
            <v>8.2349525837042761E-2</v>
          </cell>
          <cell r="I53">
            <v>1.2418553641700535E-2</v>
          </cell>
          <cell r="J53">
            <v>8.6123475904780339E-3</v>
          </cell>
          <cell r="K53">
            <v>1.1289594219727761E-3</v>
          </cell>
          <cell r="L53">
            <v>0</v>
          </cell>
          <cell r="M53">
            <v>0</v>
          </cell>
          <cell r="Q53">
            <v>2.7976715562771735E-2</v>
          </cell>
          <cell r="R53">
            <v>1.3895382683816473E-2</v>
          </cell>
          <cell r="S53">
            <v>0.1047353349891112</v>
          </cell>
          <cell r="T53">
            <v>5.1307774813547001E-2</v>
          </cell>
          <cell r="U53">
            <v>0.16023784330927546</v>
          </cell>
          <cell r="V53">
            <v>0.32893641938240203</v>
          </cell>
          <cell r="W53">
            <v>0.27056869950045742</v>
          </cell>
          <cell r="X53">
            <v>1.0096132366912425E-2</v>
          </cell>
          <cell r="Y53">
            <v>1.9274085430983213E-3</v>
          </cell>
          <cell r="Z53">
            <v>1.8184946224875456E-2</v>
          </cell>
          <cell r="AA53">
            <v>1.0116186966986162E-2</v>
          </cell>
          <cell r="AB53">
            <v>2.0171556567462612E-3</v>
          </cell>
          <cell r="AG53">
            <v>-2.5622028768371375E-2</v>
          </cell>
          <cell r="AH53">
            <v>-1.2863191212298506E-2</v>
          </cell>
          <cell r="AI53">
            <v>-3.2257549620161863E-3</v>
          </cell>
          <cell r="AJ53">
            <v>5.5943370273866706E-2</v>
          </cell>
          <cell r="AK53">
            <v>9.6390761296878985E-2</v>
          </cell>
          <cell r="AL53">
            <v>9.7777986139822304E-2</v>
          </cell>
          <cell r="AM53">
            <v>-0.18821917366341467</v>
          </cell>
          <cell r="AN53">
            <v>2.3224212747881105E-3</v>
          </cell>
          <cell r="AO53">
            <v>6.6849390473797121E-3</v>
          </cell>
          <cell r="AP53">
            <v>-1.7055986802902681E-2</v>
          </cell>
          <cell r="AQ53">
            <v>-1.0116186966986162E-2</v>
          </cell>
          <cell r="AR53">
            <v>-2.0171556567462612E-3</v>
          </cell>
          <cell r="AW53">
            <v>-2.5622028768371375E-2</v>
          </cell>
          <cell r="AX53">
            <v>-1.2863191212298506E-2</v>
          </cell>
          <cell r="AY53">
            <v>-3.2257549620161863E-3</v>
          </cell>
          <cell r="AZ53">
            <v>5.5943370273866706E-2</v>
          </cell>
          <cell r="BA53">
            <v>9.6390761296878985E-2</v>
          </cell>
          <cell r="BB53">
            <v>9.7777986139822304E-2</v>
          </cell>
          <cell r="BC53">
            <v>-0.18821917366341467</v>
          </cell>
          <cell r="BD53">
            <v>2.3224212747881105E-3</v>
          </cell>
          <cell r="BE53">
            <v>6.6849390473797121E-3</v>
          </cell>
          <cell r="BF53">
            <v>-1.7055986802902681E-2</v>
          </cell>
          <cell r="BG53">
            <v>-1.0116186966986162E-2</v>
          </cell>
          <cell r="BH53">
            <v>-2.0171556567462612E-3</v>
          </cell>
        </row>
        <row r="54">
          <cell r="B54">
            <v>9.4563552833078091E-3</v>
          </cell>
          <cell r="C54">
            <v>7.5612557427258809E-2</v>
          </cell>
          <cell r="D54">
            <v>1.5735068912710565E-2</v>
          </cell>
          <cell r="E54">
            <v>0.1653522205206738</v>
          </cell>
          <cell r="F54">
            <v>5.8269525267993873E-2</v>
          </cell>
          <cell r="G54">
            <v>0.18269525267993875</v>
          </cell>
          <cell r="H54">
            <v>0.30551301684532928</v>
          </cell>
          <cell r="I54">
            <v>0.15432618683001528</v>
          </cell>
          <cell r="J54">
            <v>2.6761102603369061E-2</v>
          </cell>
          <cell r="K54">
            <v>4.7090352220520671E-3</v>
          </cell>
          <cell r="L54">
            <v>1.5696784073506891E-3</v>
          </cell>
          <cell r="M54">
            <v>0</v>
          </cell>
          <cell r="Q54">
            <v>2.7345780603692423E-2</v>
          </cell>
          <cell r="R54">
            <v>6.4976320362724507E-2</v>
          </cell>
          <cell r="S54">
            <v>2.4001567828931491E-2</v>
          </cell>
          <cell r="T54">
            <v>0.13173518266577816</v>
          </cell>
          <cell r="U54">
            <v>5.2609840810786346E-2</v>
          </cell>
          <cell r="V54">
            <v>0.15396550230822365</v>
          </cell>
          <cell r="W54">
            <v>0.28683555356359025</v>
          </cell>
          <cell r="X54">
            <v>0.22748759446819783</v>
          </cell>
          <cell r="Y54">
            <v>7.9815912106770224E-3</v>
          </cell>
          <cell r="Z54">
            <v>1.4036054933965422E-3</v>
          </cell>
          <cell r="AA54">
            <v>1.3306849590518194E-2</v>
          </cell>
          <cell r="AB54">
            <v>8.350611093483765E-3</v>
          </cell>
          <cell r="AG54">
            <v>-1.7889425320384615E-2</v>
          </cell>
          <cell r="AH54">
            <v>1.0636237064534301E-2</v>
          </cell>
          <cell r="AI54">
            <v>-8.2664989162209261E-3</v>
          </cell>
          <cell r="AJ54">
            <v>3.3617037854895643E-2</v>
          </cell>
          <cell r="AK54">
            <v>5.6596844572075269E-3</v>
          </cell>
          <cell r="AL54">
            <v>2.8729750371715101E-2</v>
          </cell>
          <cell r="AM54">
            <v>1.8677463281739026E-2</v>
          </cell>
          <cell r="AN54">
            <v>-7.3161407638182546E-2</v>
          </cell>
          <cell r="AO54">
            <v>1.8779511392692037E-2</v>
          </cell>
          <cell r="AP54">
            <v>3.3054297286555252E-3</v>
          </cell>
          <cell r="AQ54">
            <v>-1.1737171183167505E-2</v>
          </cell>
          <cell r="AR54">
            <v>-8.350611093483765E-3</v>
          </cell>
          <cell r="AW54">
            <v>-1.7889425320384615E-2</v>
          </cell>
          <cell r="AX54">
            <v>1.0636237064534301E-2</v>
          </cell>
          <cell r="AY54">
            <v>-8.2664989162209261E-3</v>
          </cell>
          <cell r="AZ54">
            <v>3.3617037854895643E-2</v>
          </cell>
          <cell r="BA54">
            <v>5.6596844572075269E-3</v>
          </cell>
          <cell r="BB54">
            <v>2.8729750371715101E-2</v>
          </cell>
          <cell r="BC54">
            <v>1.8677463281739026E-2</v>
          </cell>
          <cell r="BD54">
            <v>-7.3161407638182546E-2</v>
          </cell>
          <cell r="BE54">
            <v>1.8779511392692037E-2</v>
          </cell>
          <cell r="BF54">
            <v>3.3054297286555252E-3</v>
          </cell>
          <cell r="BG54">
            <v>-1.1737171183167505E-2</v>
          </cell>
          <cell r="BH54">
            <v>-8.350611093483765E-3</v>
          </cell>
        </row>
        <row r="55">
          <cell r="B55">
            <v>1.4970059880239522E-3</v>
          </cell>
          <cell r="C55">
            <v>7.5554772807326517E-2</v>
          </cell>
          <cell r="D55">
            <v>8.7750968650933431E-2</v>
          </cell>
          <cell r="E55">
            <v>3.6104262064107079E-2</v>
          </cell>
          <cell r="F55">
            <v>0.15441176470588236</v>
          </cell>
          <cell r="G55">
            <v>5.9616061993659743E-2</v>
          </cell>
          <cell r="H55">
            <v>0.16242514970059882</v>
          </cell>
          <cell r="I55">
            <v>0.23075907009510391</v>
          </cell>
          <cell r="J55">
            <v>0.16828108488904545</v>
          </cell>
          <cell r="K55">
            <v>1.0963367382881296E-2</v>
          </cell>
          <cell r="L55">
            <v>9.7745685100387465E-3</v>
          </cell>
          <cell r="M55">
            <v>2.861923212398732E-3</v>
          </cell>
          <cell r="Q55">
            <v>9.5495804761018561E-3</v>
          </cell>
          <cell r="R55">
            <v>6.5040278370156482E-2</v>
          </cell>
          <cell r="S55">
            <v>0.1149776722254495</v>
          </cell>
          <cell r="T55">
            <v>3.1028925339819664E-2</v>
          </cell>
          <cell r="U55">
            <v>0.13898280238404101</v>
          </cell>
          <cell r="V55">
            <v>5.1839250420456409E-2</v>
          </cell>
          <cell r="W55">
            <v>0.1363288050455303</v>
          </cell>
          <cell r="X55">
            <v>0.24340021435091849</v>
          </cell>
          <cell r="Y55">
            <v>0.18674652066764438</v>
          </cell>
          <cell r="Z55">
            <v>6.0047863490359362E-3</v>
          </cell>
          <cell r="AA55">
            <v>1.0261429040257688E-3</v>
          </cell>
          <cell r="AB55">
            <v>1.5075021466820415E-2</v>
          </cell>
          <cell r="AG55">
            <v>-8.0525744880779043E-3</v>
          </cell>
          <cell r="AH55">
            <v>1.0514494437170036E-2</v>
          </cell>
          <cell r="AI55">
            <v>-2.7226703574516065E-2</v>
          </cell>
          <cell r="AJ55">
            <v>5.0753367242874145E-3</v>
          </cell>
          <cell r="AK55">
            <v>1.542896232184135E-2</v>
          </cell>
          <cell r="AL55">
            <v>7.7768115732033335E-3</v>
          </cell>
          <cell r="AM55">
            <v>2.6096344655068521E-2</v>
          </cell>
          <cell r="AN55">
            <v>-1.2641144255814585E-2</v>
          </cell>
          <cell r="AO55">
            <v>-1.8465435778598938E-2</v>
          </cell>
          <cell r="AP55">
            <v>4.9585810338453598E-3</v>
          </cell>
          <cell r="AQ55">
            <v>8.7484256060129783E-3</v>
          </cell>
          <cell r="AR55">
            <v>-1.2213098254421684E-2</v>
          </cell>
          <cell r="AW55">
            <v>-8.0525744880779043E-3</v>
          </cell>
          <cell r="AX55">
            <v>1.0514494437170036E-2</v>
          </cell>
          <cell r="AY55">
            <v>-2.7226703574516065E-2</v>
          </cell>
          <cell r="AZ55">
            <v>5.0753367242874145E-3</v>
          </cell>
          <cell r="BA55">
            <v>1.542896232184135E-2</v>
          </cell>
          <cell r="BB55">
            <v>7.7768115732033335E-3</v>
          </cell>
          <cell r="BC55">
            <v>2.6096344655068521E-2</v>
          </cell>
          <cell r="BD55">
            <v>-1.2641144255814585E-2</v>
          </cell>
          <cell r="BE55">
            <v>-1.8465435778598938E-2</v>
          </cell>
          <cell r="BF55">
            <v>4.9585810338453598E-3</v>
          </cell>
          <cell r="BG55">
            <v>8.7484256060129783E-3</v>
          </cell>
          <cell r="BH55">
            <v>-1.2213098254421684E-2</v>
          </cell>
        </row>
        <row r="56">
          <cell r="B56">
            <v>8.0280774900436038E-4</v>
          </cell>
          <cell r="C56">
            <v>5.2900747276460247E-3</v>
          </cell>
          <cell r="D56">
            <v>6.6106256689610163E-2</v>
          </cell>
          <cell r="E56">
            <v>0.1385701961097752</v>
          </cell>
          <cell r="F56">
            <v>3.7660494024400908E-2</v>
          </cell>
          <cell r="G56">
            <v>0.19089212222799981</v>
          </cell>
          <cell r="H56">
            <v>6.3954325193257389E-2</v>
          </cell>
          <cell r="I56">
            <v>0.14377413343091722</v>
          </cell>
          <cell r="J56">
            <v>0.25407561496871151</v>
          </cell>
          <cell r="K56">
            <v>8.681953098091473E-2</v>
          </cell>
          <cell r="L56">
            <v>6.9711467764687089E-3</v>
          </cell>
          <cell r="M56">
            <v>5.0832971212941159E-3</v>
          </cell>
          <cell r="Q56">
            <v>2.054694241373799E-2</v>
          </cell>
          <cell r="R56">
            <v>2.2798364031271407E-2</v>
          </cell>
          <cell r="S56">
            <v>0.115438061696363</v>
          </cell>
          <cell r="T56">
            <v>0.14834271263805615</v>
          </cell>
          <cell r="U56">
            <v>3.2561252483079249E-2</v>
          </cell>
          <cell r="V56">
            <v>0.13665917999147092</v>
          </cell>
          <cell r="W56">
            <v>4.6043959274599741E-2</v>
          </cell>
          <cell r="X56">
            <v>0.11655689074406075</v>
          </cell>
          <cell r="Y56">
            <v>0.19947920363226995</v>
          </cell>
          <cell r="Z56">
            <v>0.14634323430931367</v>
          </cell>
          <cell r="AA56">
            <v>4.4553139359881236E-3</v>
          </cell>
          <cell r="AB56">
            <v>1.0774884849788951E-2</v>
          </cell>
          <cell r="AG56">
            <v>-1.9744134664733629E-2</v>
          </cell>
          <cell r="AH56">
            <v>-1.7508289303625382E-2</v>
          </cell>
          <cell r="AI56">
            <v>-4.9331805006752841E-2</v>
          </cell>
          <cell r="AJ56">
            <v>-9.7725165282809556E-3</v>
          </cell>
          <cell r="AK56">
            <v>5.0992415413216585E-3</v>
          </cell>
          <cell r="AL56">
            <v>5.4232942236528886E-2</v>
          </cell>
          <cell r="AM56">
            <v>1.7910365918657647E-2</v>
          </cell>
          <cell r="AN56">
            <v>2.7217242686856463E-2</v>
          </cell>
          <cell r="AO56">
            <v>5.4596411336441553E-2</v>
          </cell>
          <cell r="AP56">
            <v>-5.9523703328398944E-2</v>
          </cell>
          <cell r="AQ56">
            <v>2.5158328404805853E-3</v>
          </cell>
          <cell r="AR56">
            <v>-5.6915877284948353E-3</v>
          </cell>
          <cell r="AW56">
            <v>-1.9744134664733629E-2</v>
          </cell>
          <cell r="AX56">
            <v>-1.7508289303625382E-2</v>
          </cell>
          <cell r="AY56">
            <v>-4.9331805006752841E-2</v>
          </cell>
          <cell r="AZ56">
            <v>-9.7725165282809556E-3</v>
          </cell>
          <cell r="BA56">
            <v>5.0992415413216585E-3</v>
          </cell>
          <cell r="BB56">
            <v>5.4232942236528886E-2</v>
          </cell>
          <cell r="BC56">
            <v>1.7910365918657647E-2</v>
          </cell>
          <cell r="BD56">
            <v>2.7217242686856463E-2</v>
          </cell>
          <cell r="BE56">
            <v>5.4596411336441553E-2</v>
          </cell>
          <cell r="BF56">
            <v>-5.9523703328398944E-2</v>
          </cell>
          <cell r="BG56">
            <v>2.5158328404805853E-3</v>
          </cell>
          <cell r="BH56">
            <v>-5.6915877284948353E-3</v>
          </cell>
        </row>
        <row r="57">
          <cell r="B57">
            <v>2.0238526525090426E-2</v>
          </cell>
          <cell r="C57">
            <v>1.964402330214653E-3</v>
          </cell>
          <cell r="D57">
            <v>8.3560201408084678E-3</v>
          </cell>
          <cell r="E57">
            <v>0.10200983688181242</v>
          </cell>
          <cell r="F57">
            <v>0.14502275730177161</v>
          </cell>
          <cell r="G57">
            <v>4.5214692846413378E-2</v>
          </cell>
          <cell r="H57">
            <v>0.18763101709921762</v>
          </cell>
          <cell r="I57">
            <v>6.8625124571316504E-2</v>
          </cell>
          <cell r="J57">
            <v>0.15447789685463317</v>
          </cell>
          <cell r="K57">
            <v>0.1880173933753195</v>
          </cell>
          <cell r="L57">
            <v>5.982651236963777E-2</v>
          </cell>
          <cell r="M57">
            <v>1.86158197037644E-2</v>
          </cell>
          <cell r="Q57">
            <v>0.11189553706546033</v>
          </cell>
          <cell r="R57">
            <v>4.5667565498743005E-2</v>
          </cell>
          <cell r="S57">
            <v>3.7629673341848878E-2</v>
          </cell>
          <cell r="T57">
            <v>0.13849709520764225</v>
          </cell>
          <cell r="U57">
            <v>0.14539801018494103</v>
          </cell>
          <cell r="V57">
            <v>2.9673205486611488E-2</v>
          </cell>
          <cell r="W57">
            <v>0.11250437375372614</v>
          </cell>
          <cell r="X57">
            <v>3.6333920263768693E-2</v>
          </cell>
          <cell r="Y57">
            <v>8.7866837311195115E-2</v>
          </cell>
          <cell r="Z57">
            <v>0.14402538956603472</v>
          </cell>
          <cell r="AA57">
            <v>0.10107091018579015</v>
          </cell>
          <cell r="AB57">
            <v>9.4374821342383085E-3</v>
          </cell>
          <cell r="AG57">
            <v>-9.1657010540369913E-2</v>
          </cell>
          <cell r="AH57">
            <v>-4.3703163168528354E-2</v>
          </cell>
          <cell r="AI57">
            <v>-2.927365320104041E-2</v>
          </cell>
          <cell r="AJ57">
            <v>-3.648725832582983E-2</v>
          </cell>
          <cell r="AK57">
            <v>-3.7525288316941907E-4</v>
          </cell>
          <cell r="AL57">
            <v>1.5541487359801889E-2</v>
          </cell>
          <cell r="AM57">
            <v>7.5126643345491476E-2</v>
          </cell>
          <cell r="AN57">
            <v>3.2291204307547811E-2</v>
          </cell>
          <cell r="AO57">
            <v>6.6611059543438059E-2</v>
          </cell>
          <cell r="AP57">
            <v>4.399200380928478E-2</v>
          </cell>
          <cell r="AQ57">
            <v>-4.1244397816152377E-2</v>
          </cell>
          <cell r="AR57">
            <v>9.1783375695260912E-3</v>
          </cell>
          <cell r="AW57">
            <v>-9.1657010540369913E-2</v>
          </cell>
          <cell r="AX57">
            <v>-4.3703163168528354E-2</v>
          </cell>
          <cell r="AY57">
            <v>-2.927365320104041E-2</v>
          </cell>
          <cell r="AZ57">
            <v>-3.648725832582983E-2</v>
          </cell>
          <cell r="BA57">
            <v>-3.7525288316941907E-4</v>
          </cell>
          <cell r="BB57">
            <v>1.5541487359801889E-2</v>
          </cell>
          <cell r="BC57">
            <v>7.5126643345491476E-2</v>
          </cell>
          <cell r="BD57">
            <v>3.2291204307547811E-2</v>
          </cell>
          <cell r="BE57">
            <v>6.6611059543438059E-2</v>
          </cell>
          <cell r="BF57">
            <v>4.399200380928478E-2</v>
          </cell>
          <cell r="BG57">
            <v>-4.1244397816152377E-2</v>
          </cell>
          <cell r="BH57">
            <v>9.1783375695260912E-3</v>
          </cell>
        </row>
        <row r="58">
          <cell r="B58">
            <v>0.1990652471020973</v>
          </cell>
          <cell r="C58">
            <v>0.31138745001434187</v>
          </cell>
          <cell r="D58">
            <v>1.2384632257411377E-2</v>
          </cell>
          <cell r="E58">
            <v>1.0326151146506488E-2</v>
          </cell>
          <cell r="F58">
            <v>9.1399935883375236E-2</v>
          </cell>
          <cell r="G58">
            <v>9.1231207923465008E-2</v>
          </cell>
          <cell r="H58">
            <v>2.1900889196348729E-2</v>
          </cell>
          <cell r="I58">
            <v>6.0556464811783964E-2</v>
          </cell>
          <cell r="J58">
            <v>4.2671301061298871E-2</v>
          </cell>
          <cell r="K58">
            <v>4.6214588219413842E-2</v>
          </cell>
          <cell r="L58">
            <v>7.6146928307489842E-2</v>
          </cell>
          <cell r="M58">
            <v>3.6715204076467514E-2</v>
          </cell>
          <cell r="Q58">
            <v>7.8378224032412139E-2</v>
          </cell>
          <cell r="R58">
            <v>0.22901262948637144</v>
          </cell>
          <cell r="S58">
            <v>6.9229036731207408E-2</v>
          </cell>
          <cell r="T58">
            <v>4.1379731729400349E-2</v>
          </cell>
          <cell r="U58">
            <v>0.123403230806369</v>
          </cell>
          <cell r="V58">
            <v>0.11978878233049484</v>
          </cell>
          <cell r="W58">
            <v>2.1830007279708834E-2</v>
          </cell>
          <cell r="X58">
            <v>8.0438438103776363E-2</v>
          </cell>
          <cell r="Y58">
            <v>2.4394965847577509E-2</v>
          </cell>
          <cell r="Z58">
            <v>5.691154733877312E-2</v>
          </cell>
          <cell r="AA58">
            <v>8.9573957595172587E-2</v>
          </cell>
          <cell r="AB58">
            <v>6.5659448718736468E-2</v>
          </cell>
          <cell r="AG58">
            <v>0.12068702306968516</v>
          </cell>
          <cell r="AH58">
            <v>8.2374820527970433E-2</v>
          </cell>
          <cell r="AI58">
            <v>-5.6844404473796031E-2</v>
          </cell>
          <cell r="AJ58">
            <v>-3.1053580582893862E-2</v>
          </cell>
          <cell r="AK58">
            <v>-3.2003294922993766E-2</v>
          </cell>
          <cell r="AL58">
            <v>-2.8557574407029829E-2</v>
          </cell>
          <cell r="AM58">
            <v>7.0881916639894266E-5</v>
          </cell>
          <cell r="AN58">
            <v>-1.98819732919924E-2</v>
          </cell>
          <cell r="AO58">
            <v>1.8276335213721361E-2</v>
          </cell>
          <cell r="AP58">
            <v>-1.0696959119359278E-2</v>
          </cell>
          <cell r="AQ58">
            <v>-1.3427029287682746E-2</v>
          </cell>
          <cell r="AR58">
            <v>-2.8944244642268954E-2</v>
          </cell>
          <cell r="AW58">
            <v>0.12068702306968516</v>
          </cell>
          <cell r="AX58">
            <v>8.2374820527970433E-2</v>
          </cell>
          <cell r="AY58">
            <v>-5.6844404473796031E-2</v>
          </cell>
          <cell r="AZ58">
            <v>-3.1053580582893862E-2</v>
          </cell>
          <cell r="BA58">
            <v>-3.2003294922993766E-2</v>
          </cell>
          <cell r="BB58">
            <v>-2.8557574407029829E-2</v>
          </cell>
          <cell r="BC58">
            <v>7.0881916639894266E-5</v>
          </cell>
          <cell r="BD58">
            <v>-1.98819732919924E-2</v>
          </cell>
          <cell r="BE58">
            <v>1.8276335213721361E-2</v>
          </cell>
          <cell r="BF58">
            <v>-1.0696959119359278E-2</v>
          </cell>
          <cell r="BG58">
            <v>-1.3427029287682746E-2</v>
          </cell>
          <cell r="BH58">
            <v>-2.8944244642268954E-2</v>
          </cell>
        </row>
        <row r="59">
          <cell r="B59">
            <v>1.15945611866502E-2</v>
          </cell>
          <cell r="C59">
            <v>0.15369592088998768</v>
          </cell>
          <cell r="D59">
            <v>0.35297898640296671</v>
          </cell>
          <cell r="E59">
            <v>2.4128553770086533E-2</v>
          </cell>
          <cell r="F59">
            <v>1.520395550061805E-2</v>
          </cell>
          <cell r="G59">
            <v>0.11854140914709521</v>
          </cell>
          <cell r="H59">
            <v>0.11156983930778742</v>
          </cell>
          <cell r="I59">
            <v>3.1569839307787395E-2</v>
          </cell>
          <cell r="J59">
            <v>5.6786155747836853E-2</v>
          </cell>
          <cell r="K59">
            <v>2.402966625463536E-2</v>
          </cell>
          <cell r="L59">
            <v>2.7169344870210142E-2</v>
          </cell>
          <cell r="M59">
            <v>7.2731767614338708E-2</v>
          </cell>
          <cell r="Q59">
            <v>3.6215222555627487E-2</v>
          </cell>
          <cell r="R59">
            <v>0.15640175126535141</v>
          </cell>
          <cell r="S59">
            <v>0.33454346656131562</v>
          </cell>
          <cell r="T59">
            <v>7.2353239719914614E-2</v>
          </cell>
          <cell r="U59">
            <v>3.4318601294485017E-2</v>
          </cell>
          <cell r="V59">
            <v>9.1745290162904558E-2</v>
          </cell>
          <cell r="W59">
            <v>7.96890659370455E-2</v>
          </cell>
          <cell r="X59">
            <v>1.4214739991360805E-2</v>
          </cell>
          <cell r="Y59">
            <v>5.049928960761884E-2</v>
          </cell>
          <cell r="Z59">
            <v>1.4232643739666368E-2</v>
          </cell>
          <cell r="AA59">
            <v>3.2642472617053817E-2</v>
          </cell>
          <cell r="AB59">
            <v>8.3144216547655914E-2</v>
          </cell>
          <cell r="AG59">
            <v>-2.4620661368977288E-2</v>
          </cell>
          <cell r="AH59">
            <v>-2.7058303753637325E-3</v>
          </cell>
          <cell r="AI59">
            <v>1.8435519841651093E-2</v>
          </cell>
          <cell r="AJ59">
            <v>-4.8224685949828081E-2</v>
          </cell>
          <cell r="AK59">
            <v>-1.9114645793866965E-2</v>
          </cell>
          <cell r="AL59">
            <v>2.6796118984190653E-2</v>
          </cell>
          <cell r="AM59">
            <v>3.1880773370741924E-2</v>
          </cell>
          <cell r="AN59">
            <v>1.7355099316426592E-2</v>
          </cell>
          <cell r="AO59">
            <v>6.2868661402180129E-3</v>
          </cell>
          <cell r="AP59">
            <v>9.7970225149689918E-3</v>
          </cell>
          <cell r="AQ59">
            <v>-5.473127746843675E-3</v>
          </cell>
          <cell r="AR59">
            <v>-1.0412448933317206E-2</v>
          </cell>
          <cell r="AW59">
            <v>-2.4620661368977288E-2</v>
          </cell>
          <cell r="AX59">
            <v>-2.7058303753637325E-3</v>
          </cell>
          <cell r="AY59">
            <v>1.8435519841651093E-2</v>
          </cell>
          <cell r="AZ59">
            <v>-4.8224685949828081E-2</v>
          </cell>
          <cell r="BA59">
            <v>-1.9114645793866965E-2</v>
          </cell>
          <cell r="BB59">
            <v>2.6796118984190653E-2</v>
          </cell>
          <cell r="BC59">
            <v>3.1880773370741924E-2</v>
          </cell>
          <cell r="BD59">
            <v>1.7355099316426592E-2</v>
          </cell>
          <cell r="BE59">
            <v>6.2868661402180129E-3</v>
          </cell>
          <cell r="BF59">
            <v>9.7970225149689918E-3</v>
          </cell>
          <cell r="BG59">
            <v>-5.473127746843675E-3</v>
          </cell>
          <cell r="BH59">
            <v>-1.0412448933317206E-2</v>
          </cell>
        </row>
        <row r="60">
          <cell r="B60">
            <v>4.4999999999999997E-3</v>
          </cell>
          <cell r="C60">
            <v>2.8400000000000002E-2</v>
          </cell>
          <cell r="D60">
            <v>0.1736</v>
          </cell>
          <cell r="E60">
            <v>0.36020000000000002</v>
          </cell>
          <cell r="F60">
            <v>3.4000000000000002E-2</v>
          </cell>
          <cell r="G60">
            <v>2.3599999999999999E-2</v>
          </cell>
          <cell r="H60">
            <v>0.1069</v>
          </cell>
          <cell r="I60">
            <v>9.0700000000000003E-2</v>
          </cell>
          <cell r="J60">
            <v>4.0099999999999997E-2</v>
          </cell>
          <cell r="K60">
            <v>3.04E-2</v>
          </cell>
          <cell r="L60">
            <v>2.4799999999999999E-2</v>
          </cell>
          <cell r="M60">
            <v>8.2699999999999996E-2</v>
          </cell>
          <cell r="Q60">
            <v>3.8144472847671959E-2</v>
          </cell>
          <cell r="R60">
            <v>7.1489784824430441E-2</v>
          </cell>
          <cell r="S60">
            <v>0.22724737406956733</v>
          </cell>
          <cell r="T60">
            <v>0.34942822831476034</v>
          </cell>
          <cell r="U60">
            <v>6.1437670002676727E-2</v>
          </cell>
          <cell r="V60">
            <v>2.6913368975150544E-2</v>
          </cell>
          <cell r="W60">
            <v>6.3425331874961549E-2</v>
          </cell>
          <cell r="X60">
            <v>5.2758559070017502E-2</v>
          </cell>
          <cell r="Y60">
            <v>8.6363960993816411E-3</v>
          </cell>
          <cell r="Z60">
            <v>3.0733535930018777E-2</v>
          </cell>
          <cell r="AA60">
            <v>7.9764460533477653E-3</v>
          </cell>
          <cell r="AB60">
            <v>6.1808831938015348E-2</v>
          </cell>
          <cell r="AG60">
            <v>-3.3644472847671962E-2</v>
          </cell>
          <cell r="AH60">
            <v>-4.308978482443044E-2</v>
          </cell>
          <cell r="AI60">
            <v>-5.3647374069567322E-2</v>
          </cell>
          <cell r="AJ60">
            <v>1.0771771685239684E-2</v>
          </cell>
          <cell r="AK60">
            <v>-2.7437670002676724E-2</v>
          </cell>
          <cell r="AL60">
            <v>-3.3133689751505442E-3</v>
          </cell>
          <cell r="AM60">
            <v>4.3474668125038446E-2</v>
          </cell>
          <cell r="AN60">
            <v>3.7941440929982501E-2</v>
          </cell>
          <cell r="AO60">
            <v>3.1463603900618357E-2</v>
          </cell>
          <cell r="AP60">
            <v>-3.3353593001877666E-4</v>
          </cell>
          <cell r="AQ60">
            <v>1.6823553946652234E-2</v>
          </cell>
          <cell r="AR60">
            <v>2.0891168061984648E-2</v>
          </cell>
          <cell r="AW60">
            <v>-3.3644472847671962E-2</v>
          </cell>
          <cell r="AX60">
            <v>-4.308978482443044E-2</v>
          </cell>
          <cell r="AY60">
            <v>-5.3647374069567322E-2</v>
          </cell>
          <cell r="AZ60">
            <v>1.0771771685239684E-2</v>
          </cell>
          <cell r="BA60">
            <v>-2.7437670002676724E-2</v>
          </cell>
          <cell r="BB60">
            <v>-3.3133689751505442E-3</v>
          </cell>
          <cell r="BC60">
            <v>4.3474668125038446E-2</v>
          </cell>
          <cell r="BD60">
            <v>3.7941440929982501E-2</v>
          </cell>
          <cell r="BE60">
            <v>3.1463603900618357E-2</v>
          </cell>
          <cell r="BF60">
            <v>-3.3353593001877666E-4</v>
          </cell>
          <cell r="BG60">
            <v>1.6823553946652234E-2</v>
          </cell>
          <cell r="BH60">
            <v>2.0891168061984648E-2</v>
          </cell>
        </row>
        <row r="61">
          <cell r="B61">
            <v>1.2E-2</v>
          </cell>
          <cell r="C61">
            <v>5.5E-2</v>
          </cell>
          <cell r="D61">
            <v>9.1999999999999998E-2</v>
          </cell>
          <cell r="E61">
            <v>0.26</v>
          </cell>
          <cell r="F61">
            <v>0.30099999999999999</v>
          </cell>
          <cell r="G61">
            <v>5.2999999999999999E-2</v>
          </cell>
          <cell r="H61">
            <v>2.1000000000000001E-2</v>
          </cell>
          <cell r="I61">
            <v>5.2000000000000005E-2</v>
          </cell>
          <cell r="J61">
            <v>5.2000000000000005E-2</v>
          </cell>
          <cell r="K61">
            <v>2.7999999999999997E-2</v>
          </cell>
          <cell r="L61">
            <v>1.9E-2</v>
          </cell>
          <cell r="M61">
            <v>5.21E-2</v>
          </cell>
          <cell r="Q61">
            <v>4.3024174779003402E-2</v>
          </cell>
          <cell r="R61">
            <v>8.2213360171872293E-2</v>
          </cell>
          <cell r="S61">
            <v>0.11238888117963192</v>
          </cell>
          <cell r="T61">
            <v>0.25292029946534234</v>
          </cell>
          <cell r="U61">
            <v>0.31056638247862595</v>
          </cell>
          <cell r="V61">
            <v>5.0554086229254142E-2</v>
          </cell>
          <cell r="W61">
            <v>1.7368960894652299E-2</v>
          </cell>
          <cell r="X61">
            <v>3.9894760710390928E-2</v>
          </cell>
          <cell r="Y61">
            <v>3.2412093790244234E-2</v>
          </cell>
          <cell r="Z61">
            <v>4.2582006771873741E-3</v>
          </cell>
          <cell r="AA61">
            <v>1.7945246579869303E-2</v>
          </cell>
          <cell r="AB61">
            <v>3.6453553043925647E-2</v>
          </cell>
          <cell r="AG61">
            <v>-3.1024174779003402E-2</v>
          </cell>
          <cell r="AH61">
            <v>-2.7213360171872293E-2</v>
          </cell>
          <cell r="AI61">
            <v>-2.0388881179631918E-2</v>
          </cell>
          <cell r="AJ61">
            <v>7.0797005346576736E-3</v>
          </cell>
          <cell r="AK61">
            <v>-9.5663824786259566E-3</v>
          </cell>
          <cell r="AL61">
            <v>2.445913770745857E-3</v>
          </cell>
          <cell r="AM61">
            <v>3.6310391053477019E-3</v>
          </cell>
          <cell r="AN61">
            <v>1.2105239289609077E-2</v>
          </cell>
          <cell r="AO61">
            <v>1.958790620975577E-2</v>
          </cell>
          <cell r="AP61">
            <v>2.3741799322812625E-2</v>
          </cell>
          <cell r="AQ61">
            <v>1.0547534201306961E-3</v>
          </cell>
          <cell r="AR61">
            <v>1.5646446956074353E-2</v>
          </cell>
          <cell r="AW61">
            <v>-3.1024174779003402E-2</v>
          </cell>
          <cell r="AX61">
            <v>-2.7213360171872293E-2</v>
          </cell>
          <cell r="AY61">
            <v>-2.0388881179631918E-2</v>
          </cell>
          <cell r="AZ61">
            <v>7.0797005346576736E-3</v>
          </cell>
          <cell r="BA61">
            <v>-9.5663824786259566E-3</v>
          </cell>
          <cell r="BB61">
            <v>2.445913770745857E-3</v>
          </cell>
          <cell r="BC61">
            <v>3.6310391053477019E-3</v>
          </cell>
          <cell r="BD61">
            <v>1.2105239289609077E-2</v>
          </cell>
          <cell r="BE61">
            <v>1.958790620975577E-2</v>
          </cell>
          <cell r="BF61">
            <v>2.3741799322812625E-2</v>
          </cell>
          <cell r="BG61">
            <v>1.0547534201306961E-3</v>
          </cell>
          <cell r="BH61">
            <v>1.5646446956074353E-2</v>
          </cell>
        </row>
        <row r="62">
          <cell r="B62">
            <v>3.0000000000000001E-3</v>
          </cell>
          <cell r="C62">
            <v>0.05</v>
          </cell>
          <cell r="D62">
            <v>7.0000000000000007E-2</v>
          </cell>
          <cell r="E62">
            <v>8.8000000000000009E-2</v>
          </cell>
          <cell r="F62">
            <v>0.22699999999999998</v>
          </cell>
          <cell r="G62">
            <v>0.255</v>
          </cell>
          <cell r="H62">
            <v>7.5999999999999998E-2</v>
          </cell>
          <cell r="I62">
            <v>4.5999999999999999E-2</v>
          </cell>
          <cell r="J62">
            <v>5.2000000000000005E-2</v>
          </cell>
          <cell r="K62">
            <v>5.2999999999999999E-2</v>
          </cell>
          <cell r="L62">
            <v>3.4000000000000002E-2</v>
          </cell>
          <cell r="M62">
            <v>4.4999999999999998E-2</v>
          </cell>
          <cell r="Q62">
            <v>3.5040065571389889E-2</v>
          </cell>
          <cell r="R62">
            <v>9.4204095891166711E-2</v>
          </cell>
          <cell r="S62">
            <v>0.13154090148896655</v>
          </cell>
          <cell r="T62">
            <v>0.12824530619472557</v>
          </cell>
          <cell r="U62">
            <v>0.23237070343112287</v>
          </cell>
          <cell r="V62">
            <v>0.26130145318564868</v>
          </cell>
          <cell r="W62">
            <v>3.7645914957258247E-2</v>
          </cell>
          <cell r="X62">
            <v>1.1027975278751392E-2</v>
          </cell>
          <cell r="Y62">
            <v>2.4152522544924119E-2</v>
          </cell>
          <cell r="Z62">
            <v>1.7795455270827213E-2</v>
          </cell>
          <cell r="AA62">
            <v>5.4517272817136651E-9</v>
          </cell>
          <cell r="AB62">
            <v>2.667560073349131E-2</v>
          </cell>
          <cell r="AG62">
            <v>-3.2040065571389886E-2</v>
          </cell>
          <cell r="AH62">
            <v>-4.4204095891166709E-2</v>
          </cell>
          <cell r="AI62">
            <v>-6.1540901488966543E-2</v>
          </cell>
          <cell r="AJ62">
            <v>-4.0245306194725564E-2</v>
          </cell>
          <cell r="AK62">
            <v>-5.3707034311228918E-3</v>
          </cell>
          <cell r="AL62">
            <v>-6.3014531856486755E-3</v>
          </cell>
          <cell r="AM62">
            <v>3.8354085042741751E-2</v>
          </cell>
          <cell r="AN62">
            <v>3.4972024721248607E-2</v>
          </cell>
          <cell r="AO62">
            <v>2.7847477455075886E-2</v>
          </cell>
          <cell r="AP62">
            <v>3.5204544729172782E-2</v>
          </cell>
          <cell r="AQ62">
            <v>3.3999994548272718E-2</v>
          </cell>
          <cell r="AR62">
            <v>1.8324399266508688E-2</v>
          </cell>
          <cell r="AW62">
            <v>-3.2040065571389886E-2</v>
          </cell>
          <cell r="AX62">
            <v>-4.4204095891166709E-2</v>
          </cell>
          <cell r="AY62">
            <v>-6.1540901488966543E-2</v>
          </cell>
          <cell r="AZ62">
            <v>-4.0245306194725564E-2</v>
          </cell>
          <cell r="BA62">
            <v>-5.3707034311228918E-3</v>
          </cell>
          <cell r="BB62">
            <v>-6.3014531856486755E-3</v>
          </cell>
          <cell r="BC62">
            <v>3.8354085042741751E-2</v>
          </cell>
          <cell r="BD62">
            <v>3.4972024721248607E-2</v>
          </cell>
          <cell r="BE62">
            <v>2.7847477455075886E-2</v>
          </cell>
          <cell r="BF62">
            <v>3.5204544729172782E-2</v>
          </cell>
          <cell r="BG62">
            <v>3.3999994548272718E-2</v>
          </cell>
          <cell r="BH62">
            <v>1.8324399266508688E-2</v>
          </cell>
        </row>
        <row r="63">
          <cell r="B63">
            <v>0.11409999999999999</v>
          </cell>
          <cell r="C63">
            <v>9.0999999999999998E-2</v>
          </cell>
          <cell r="D63">
            <v>0.16700000000000001</v>
          </cell>
          <cell r="E63">
            <v>0.14799999999999999</v>
          </cell>
          <cell r="F63">
            <v>8.5999999999999993E-2</v>
          </cell>
          <cell r="G63">
            <v>0.16</v>
          </cell>
          <cell r="H63">
            <v>0.13</v>
          </cell>
          <cell r="I63">
            <v>3.5999999999999997E-2</v>
          </cell>
          <cell r="J63">
            <v>1.7000000000000001E-2</v>
          </cell>
          <cell r="K63">
            <v>1.7999999999999999E-2</v>
          </cell>
          <cell r="L63">
            <v>1.6E-2</v>
          </cell>
          <cell r="M63">
            <v>1.9E-2</v>
          </cell>
          <cell r="Q63">
            <v>6.4886225358735519E-2</v>
          </cell>
          <cell r="R63">
            <v>7.5355503517846714E-2</v>
          </cell>
          <cell r="S63">
            <v>0.14836657804573486</v>
          </cell>
          <cell r="T63">
            <v>0.14799877268373846</v>
          </cell>
          <cell r="U63">
            <v>0.11629427099097425</v>
          </cell>
          <cell r="V63">
            <v>0.19340004071283884</v>
          </cell>
          <cell r="W63">
            <v>0.19079005068179652</v>
          </cell>
          <cell r="X63">
            <v>2.365703813567839E-2</v>
          </cell>
          <cell r="Y63">
            <v>5.2177455156662833E-3</v>
          </cell>
          <cell r="Z63">
            <v>1.3802996078663417E-2</v>
          </cell>
          <cell r="AA63">
            <v>8.2983169467928802E-3</v>
          </cell>
          <cell r="AB63">
            <v>1.1932461331533945E-2</v>
          </cell>
          <cell r="AG63">
            <v>4.9213774641264474E-2</v>
          </cell>
          <cell r="AH63">
            <v>1.5644496482153283E-2</v>
          </cell>
          <cell r="AI63">
            <v>1.863342195426515E-2</v>
          </cell>
          <cell r="AJ63">
            <v>1.2273162615372701E-6</v>
          </cell>
          <cell r="AK63">
            <v>-3.0294270990974259E-2</v>
          </cell>
          <cell r="AL63">
            <v>-3.3400040712838835E-2</v>
          </cell>
          <cell r="AM63">
            <v>-6.079005068179652E-2</v>
          </cell>
          <cell r="AN63">
            <v>1.2342961864321607E-2</v>
          </cell>
          <cell r="AO63">
            <v>1.1782254484333718E-2</v>
          </cell>
          <cell r="AP63">
            <v>4.1970039213365812E-3</v>
          </cell>
          <cell r="AQ63">
            <v>7.7016830532071201E-3</v>
          </cell>
          <cell r="AR63">
            <v>7.067538668466055E-3</v>
          </cell>
          <cell r="AW63">
            <v>4.9213774641264474E-2</v>
          </cell>
          <cell r="AX63">
            <v>1.5644496482153283E-2</v>
          </cell>
          <cell r="AY63">
            <v>1.863342195426515E-2</v>
          </cell>
          <cell r="AZ63">
            <v>1.2273162615372701E-6</v>
          </cell>
          <cell r="BA63">
            <v>-3.0294270990974259E-2</v>
          </cell>
          <cell r="BB63">
            <v>-3.3400040712838835E-2</v>
          </cell>
          <cell r="BC63">
            <v>-6.079005068179652E-2</v>
          </cell>
          <cell r="BD63">
            <v>1.2342961864321607E-2</v>
          </cell>
          <cell r="BE63">
            <v>1.1782254484333718E-2</v>
          </cell>
          <cell r="BF63">
            <v>4.1970039213365812E-3</v>
          </cell>
          <cell r="BG63">
            <v>7.7016830532071201E-3</v>
          </cell>
          <cell r="BH63">
            <v>7.067538668466055E-3</v>
          </cell>
        </row>
        <row r="64">
          <cell r="B64">
            <v>1E-3</v>
          </cell>
          <cell r="C64">
            <v>6.8000000000000005E-2</v>
          </cell>
          <cell r="D64">
            <v>6.3E-2</v>
          </cell>
          <cell r="E64">
            <v>0.121</v>
          </cell>
          <cell r="F64">
            <v>0.115</v>
          </cell>
          <cell r="G64">
            <v>0.113</v>
          </cell>
          <cell r="H64">
            <v>0.14599999999999999</v>
          </cell>
          <cell r="I64">
            <v>0.17899999999999999</v>
          </cell>
          <cell r="J64">
            <v>9.6000000000000002E-2</v>
          </cell>
          <cell r="K64">
            <v>3.3000000000000002E-2</v>
          </cell>
          <cell r="L64">
            <v>3.2000000000000001E-2</v>
          </cell>
          <cell r="M64">
            <v>3.3000000000000002E-2</v>
          </cell>
          <cell r="Q64">
            <v>1.4403723002498247E-2</v>
          </cell>
          <cell r="R64">
            <v>0.14484245367532633</v>
          </cell>
          <cell r="S64">
            <v>0.12259226641883988</v>
          </cell>
          <cell r="T64">
            <v>0.17118515171148804</v>
          </cell>
          <cell r="U64">
            <v>0.13667892692317243</v>
          </cell>
          <cell r="V64">
            <v>9.9018535244026817E-2</v>
          </cell>
          <cell r="W64">
            <v>0.1436852304212852</v>
          </cell>
          <cell r="X64">
            <v>0.13578582645035195</v>
          </cell>
          <cell r="Y64">
            <v>1.2816357629478341E-2</v>
          </cell>
          <cell r="Z64">
            <v>2.3562859308472179E-3</v>
          </cell>
          <cell r="AA64">
            <v>7.5057859315066592E-3</v>
          </cell>
          <cell r="AB64">
            <v>9.1294566611789772E-3</v>
          </cell>
          <cell r="AG64">
            <v>-1.3403723002498247E-2</v>
          </cell>
          <cell r="AH64">
            <v>-7.6842453675326328E-2</v>
          </cell>
          <cell r="AI64">
            <v>-5.9592266418839884E-2</v>
          </cell>
          <cell r="AJ64">
            <v>-5.0185151711488046E-2</v>
          </cell>
          <cell r="AK64">
            <v>-2.1678926923172429E-2</v>
          </cell>
          <cell r="AL64">
            <v>1.3981464755973186E-2</v>
          </cell>
          <cell r="AM64">
            <v>2.3147695787147926E-3</v>
          </cell>
          <cell r="AN64">
            <v>4.3214173549648044E-2</v>
          </cell>
          <cell r="AO64">
            <v>8.3183642370521657E-2</v>
          </cell>
          <cell r="AP64">
            <v>3.0643714069152783E-2</v>
          </cell>
          <cell r="AQ64">
            <v>2.4494214068493343E-2</v>
          </cell>
          <cell r="AR64">
            <v>2.3870543338821024E-2</v>
          </cell>
          <cell r="AW64">
            <v>-1.3403723002498247E-2</v>
          </cell>
          <cell r="AX64">
            <v>-7.6842453675326328E-2</v>
          </cell>
          <cell r="AY64">
            <v>-5.9592266418839884E-2</v>
          </cell>
          <cell r="AZ64">
            <v>-5.0185151711488046E-2</v>
          </cell>
          <cell r="BA64">
            <v>-2.1678926923172429E-2</v>
          </cell>
          <cell r="BB64">
            <v>1.3981464755973186E-2</v>
          </cell>
          <cell r="BC64">
            <v>2.3147695787147926E-3</v>
          </cell>
          <cell r="BD64">
            <v>4.3214173549648044E-2</v>
          </cell>
          <cell r="BE64">
            <v>8.3183642370521657E-2</v>
          </cell>
          <cell r="BF64">
            <v>3.0643714069152783E-2</v>
          </cell>
          <cell r="BG64">
            <v>2.4494214068493343E-2</v>
          </cell>
          <cell r="BH64">
            <v>2.3870543338821024E-2</v>
          </cell>
        </row>
        <row r="65">
          <cell r="B65">
            <v>0.01</v>
          </cell>
          <cell r="C65">
            <v>2.5000000000000001E-2</v>
          </cell>
          <cell r="D65">
            <v>0.307</v>
          </cell>
          <cell r="E65">
            <v>0.129</v>
          </cell>
          <cell r="F65">
            <v>0.14400000000000002</v>
          </cell>
          <cell r="G65">
            <v>0.107</v>
          </cell>
          <cell r="H65">
            <v>4.8000000000000001E-2</v>
          </cell>
          <cell r="I65">
            <v>0.11</v>
          </cell>
          <cell r="J65">
            <v>6.3E-2</v>
          </cell>
          <cell r="K65">
            <v>3.4000000000000002E-2</v>
          </cell>
          <cell r="L65">
            <v>1.3999999999999999E-2</v>
          </cell>
          <cell r="M65">
            <v>0.01</v>
          </cell>
          <cell r="Q65">
            <v>2.0824241578637406E-2</v>
          </cell>
          <cell r="R65">
            <v>3.279519373522833E-2</v>
          </cell>
          <cell r="S65">
            <v>0.24084527290507818</v>
          </cell>
          <cell r="T65">
            <v>0.14466084198982096</v>
          </cell>
          <cell r="U65">
            <v>0.15941242798926281</v>
          </cell>
          <cell r="V65">
            <v>0.11691407719941456</v>
          </cell>
          <cell r="W65">
            <v>7.4594053581782643E-2</v>
          </cell>
          <cell r="X65">
            <v>0.10469723348740824</v>
          </cell>
          <cell r="Y65">
            <v>9.2195999990491634E-2</v>
          </cell>
          <cell r="Z65">
            <v>4.3296016211888857E-3</v>
          </cell>
          <cell r="AA65">
            <v>6.3435038139193324E-9</v>
          </cell>
          <cell r="AB65">
            <v>8.7310495781825811E-3</v>
          </cell>
          <cell r="AG65">
            <v>-1.0824241578637405E-2</v>
          </cell>
          <cell r="AH65">
            <v>-7.7951937352283285E-3</v>
          </cell>
          <cell r="AI65">
            <v>6.6154727094921817E-2</v>
          </cell>
          <cell r="AJ65">
            <v>-1.5660841989820956E-2</v>
          </cell>
          <cell r="AK65">
            <v>-1.5412427989262789E-2</v>
          </cell>
          <cell r="AL65">
            <v>-9.9140771994145616E-3</v>
          </cell>
          <cell r="AM65">
            <v>-2.6594053581782642E-2</v>
          </cell>
          <cell r="AN65">
            <v>5.3027665125917611E-3</v>
          </cell>
          <cell r="AO65">
            <v>-2.9195999990491633E-2</v>
          </cell>
          <cell r="AP65">
            <v>2.9670398378811115E-2</v>
          </cell>
          <cell r="AQ65">
            <v>1.3999993656496184E-2</v>
          </cell>
          <cell r="AR65">
            <v>1.2689504218174191E-3</v>
          </cell>
          <cell r="AW65">
            <v>-1.0824241578637405E-2</v>
          </cell>
          <cell r="AX65">
            <v>-7.7951937352283285E-3</v>
          </cell>
          <cell r="AY65">
            <v>6.6154727094921817E-2</v>
          </cell>
          <cell r="AZ65">
            <v>-1.5660841989820956E-2</v>
          </cell>
          <cell r="BA65">
            <v>-1.5412427989262789E-2</v>
          </cell>
          <cell r="BB65">
            <v>-9.9140771994145616E-3</v>
          </cell>
          <cell r="BC65">
            <v>-2.6594053581782642E-2</v>
          </cell>
          <cell r="BD65">
            <v>5.3027665125917611E-3</v>
          </cell>
          <cell r="BE65">
            <v>-2.9195999990491633E-2</v>
          </cell>
          <cell r="BF65">
            <v>2.9670398378811115E-2</v>
          </cell>
          <cell r="BG65">
            <v>1.3999993656496184E-2</v>
          </cell>
          <cell r="BH65">
            <v>1.2689504218174191E-3</v>
          </cell>
        </row>
        <row r="66">
          <cell r="B66">
            <v>2.9000000000000001E-2</v>
          </cell>
          <cell r="C66">
            <v>2.3E-2</v>
          </cell>
          <cell r="D66">
            <v>0.03</v>
          </cell>
          <cell r="E66">
            <v>0.19900000000000001</v>
          </cell>
          <cell r="F66">
            <v>0.16800000000000001</v>
          </cell>
          <cell r="G66">
            <v>0.1</v>
          </cell>
          <cell r="H66">
            <v>9.8000000000000004E-2</v>
          </cell>
          <cell r="I66">
            <v>0.107</v>
          </cell>
          <cell r="J66">
            <v>7.6999999999999999E-2</v>
          </cell>
          <cell r="K66">
            <v>8.5999999999999993E-2</v>
          </cell>
          <cell r="L66">
            <v>6.0999999999999999E-2</v>
          </cell>
          <cell r="M66">
            <v>2.4E-2</v>
          </cell>
          <cell r="Q66">
            <v>0.10682521800120313</v>
          </cell>
          <cell r="R66">
            <v>4.5424400302263711E-2</v>
          </cell>
          <cell r="S66">
            <v>5.220029255864158E-2</v>
          </cell>
          <cell r="T66">
            <v>0.2718010365619819</v>
          </cell>
          <cell r="U66">
            <v>0.13051487789702135</v>
          </cell>
          <cell r="V66">
            <v>0.13055610683996827</v>
          </cell>
          <cell r="W66">
            <v>8.4663854593515622E-2</v>
          </cell>
          <cell r="X66">
            <v>5.0757824407629423E-2</v>
          </cell>
          <cell r="Y66">
            <v>6.7519202072645959E-2</v>
          </cell>
          <cell r="Z66">
            <v>5.6124916340807435E-2</v>
          </cell>
          <cell r="AA66">
            <v>1.3325140783205163E-8</v>
          </cell>
          <cell r="AB66">
            <v>3.6122570991809384E-3</v>
          </cell>
          <cell r="AG66">
            <v>-7.7825218001203136E-2</v>
          </cell>
          <cell r="AH66">
            <v>-2.2424400302263711E-2</v>
          </cell>
          <cell r="AI66">
            <v>-2.2200292558641581E-2</v>
          </cell>
          <cell r="AJ66">
            <v>-7.2801036561981891E-2</v>
          </cell>
          <cell r="AK66">
            <v>3.7485122102978663E-2</v>
          </cell>
          <cell r="AL66">
            <v>-3.0556106839968261E-2</v>
          </cell>
          <cell r="AM66">
            <v>1.3336145406484382E-2</v>
          </cell>
          <cell r="AN66">
            <v>5.6242175592370575E-2</v>
          </cell>
          <cell r="AO66">
            <v>9.4807979273540399E-3</v>
          </cell>
          <cell r="AP66">
            <v>2.9875083659192558E-2</v>
          </cell>
          <cell r="AQ66">
            <v>6.0999986674859216E-2</v>
          </cell>
          <cell r="AR66">
            <v>2.0387742900819062E-2</v>
          </cell>
          <cell r="AW66">
            <v>-7.7825218001203136E-2</v>
          </cell>
          <cell r="AX66">
            <v>-2.2424400302263711E-2</v>
          </cell>
          <cell r="AY66">
            <v>-2.2200292558641581E-2</v>
          </cell>
          <cell r="AZ66">
            <v>-7.2801036561981891E-2</v>
          </cell>
          <cell r="BA66">
            <v>3.7485122102978663E-2</v>
          </cell>
          <cell r="BB66">
            <v>-3.0556106839968261E-2</v>
          </cell>
          <cell r="BC66">
            <v>1.3336145406484382E-2</v>
          </cell>
          <cell r="BD66">
            <v>5.6242175592370575E-2</v>
          </cell>
          <cell r="BE66">
            <v>9.4807979273540399E-3</v>
          </cell>
          <cell r="BF66">
            <v>2.9875083659192558E-2</v>
          </cell>
          <cell r="BG66">
            <v>6.0999986674859216E-2</v>
          </cell>
          <cell r="BH66">
            <v>2.0387742900819062E-2</v>
          </cell>
        </row>
        <row r="67">
          <cell r="B67">
            <v>2.9000000000000001E-2</v>
          </cell>
          <cell r="C67">
            <v>0.16400000000000001</v>
          </cell>
          <cell r="D67">
            <v>0.05</v>
          </cell>
          <cell r="E67">
            <v>0.04</v>
          </cell>
          <cell r="F67">
            <v>0.29199999999999998</v>
          </cell>
          <cell r="G67">
            <v>9.4E-2</v>
          </cell>
          <cell r="H67">
            <v>0.11600000000000001</v>
          </cell>
          <cell r="I67">
            <v>6.6000000000000003E-2</v>
          </cell>
          <cell r="J67">
            <v>6.2E-2</v>
          </cell>
          <cell r="K67">
            <v>4.8000000000000001E-2</v>
          </cell>
          <cell r="L67">
            <v>2.9000000000000001E-2</v>
          </cell>
          <cell r="M67">
            <v>1.0999999999999999E-2</v>
          </cell>
          <cell r="Q67">
            <v>0.15195437198524062</v>
          </cell>
          <cell r="R67">
            <v>0.20480427829659414</v>
          </cell>
          <cell r="S67">
            <v>6.3495454817312613E-2</v>
          </cell>
          <cell r="T67">
            <v>5.1636646409642176E-2</v>
          </cell>
          <cell r="U67">
            <v>0.21217808112334191</v>
          </cell>
          <cell r="V67">
            <v>9.1691997907095757E-2</v>
          </cell>
          <cell r="W67">
            <v>8.1461350188124323E-2</v>
          </cell>
          <cell r="X67">
            <v>5.1108647308131722E-2</v>
          </cell>
          <cell r="Y67">
            <v>2.6041707613644292E-2</v>
          </cell>
          <cell r="Z67">
            <v>3.696335088637788E-2</v>
          </cell>
          <cell r="AA67">
            <v>2.8664104767265074E-2</v>
          </cell>
          <cell r="AB67">
            <v>8.6972294399939117E-9</v>
          </cell>
          <cell r="AG67">
            <v>-0.12295437198524062</v>
          </cell>
          <cell r="AH67">
            <v>-4.0804278296594138E-2</v>
          </cell>
          <cell r="AI67">
            <v>-1.349545481731261E-2</v>
          </cell>
          <cell r="AJ67">
            <v>-1.1636646409642175E-2</v>
          </cell>
          <cell r="AK67">
            <v>7.9821918876658071E-2</v>
          </cell>
          <cell r="AL67">
            <v>2.3080020929042433E-3</v>
          </cell>
          <cell r="AM67">
            <v>3.4538649811875682E-2</v>
          </cell>
          <cell r="AN67">
            <v>1.4891352691868281E-2</v>
          </cell>
          <cell r="AO67">
            <v>3.5958292386355707E-2</v>
          </cell>
          <cell r="AP67">
            <v>1.1036649113622121E-2</v>
          </cell>
          <cell r="AQ67">
            <v>3.358952327349278E-4</v>
          </cell>
          <cell r="AR67">
            <v>1.0999991302770559E-2</v>
          </cell>
          <cell r="AW67">
            <v>-0.12295437198524062</v>
          </cell>
          <cell r="AX67">
            <v>-4.0804278296594138E-2</v>
          </cell>
          <cell r="AY67">
            <v>-1.349545481731261E-2</v>
          </cell>
          <cell r="AZ67">
            <v>-1.1636646409642175E-2</v>
          </cell>
          <cell r="BA67">
            <v>7.9821918876658071E-2</v>
          </cell>
          <cell r="BB67">
            <v>2.3080020929042433E-3</v>
          </cell>
          <cell r="BC67">
            <v>3.4538649811875682E-2</v>
          </cell>
          <cell r="BD67">
            <v>1.4891352691868281E-2</v>
          </cell>
          <cell r="BE67">
            <v>3.5958292386355707E-2</v>
          </cell>
          <cell r="BF67">
            <v>1.1036649113622121E-2</v>
          </cell>
          <cell r="BG67">
            <v>3.358952327349278E-4</v>
          </cell>
          <cell r="BH67">
            <v>1.0999991302770559E-2</v>
          </cell>
        </row>
        <row r="68">
          <cell r="B68">
            <v>0.02</v>
          </cell>
          <cell r="C68">
            <v>0.34599999999999997</v>
          </cell>
          <cell r="D68">
            <v>0.312</v>
          </cell>
          <cell r="E68">
            <v>0.04</v>
          </cell>
          <cell r="F68">
            <v>4.2999999999999997E-2</v>
          </cell>
          <cell r="G68">
            <v>0.104</v>
          </cell>
          <cell r="H68">
            <v>4.3999999999999997E-2</v>
          </cell>
          <cell r="I68">
            <v>3.5000000000000003E-2</v>
          </cell>
          <cell r="J68">
            <v>2.5000000000000001E-2</v>
          </cell>
          <cell r="K68">
            <v>1.4999999999999999E-2</v>
          </cell>
          <cell r="L68">
            <v>8.9999999999999993E-3</v>
          </cell>
          <cell r="M68">
            <v>7.0000000000000001E-3</v>
          </cell>
          <cell r="Q68">
            <v>3.8494366506210263E-2</v>
          </cell>
          <cell r="R68">
            <v>0.28034736319434989</v>
          </cell>
          <cell r="S68">
            <v>0.27536303775490878</v>
          </cell>
          <cell r="T68">
            <v>6.0475324602023768E-2</v>
          </cell>
          <cell r="U68">
            <v>3.8288603902207542E-2</v>
          </cell>
          <cell r="V68">
            <v>0.13456570194338296</v>
          </cell>
          <cell r="W68">
            <v>5.4307098075915036E-2</v>
          </cell>
          <cell r="X68">
            <v>4.4897545543880035E-2</v>
          </cell>
          <cell r="Y68">
            <v>2.760505451227957E-2</v>
          </cell>
          <cell r="Z68">
            <v>1.262938687276169E-2</v>
          </cell>
          <cell r="AA68">
            <v>1.8958325401414879E-2</v>
          </cell>
          <cell r="AB68">
            <v>1.4068191690665572E-2</v>
          </cell>
          <cell r="AG68">
            <v>-1.8494366506210263E-2</v>
          </cell>
          <cell r="AH68">
            <v>6.5652636805650089E-2</v>
          </cell>
          <cell r="AI68">
            <v>3.663696224509122E-2</v>
          </cell>
          <cell r="AJ68">
            <v>-2.0475324602023767E-2</v>
          </cell>
          <cell r="AK68">
            <v>4.7113960977924543E-3</v>
          </cell>
          <cell r="AL68">
            <v>-3.056570194338297E-2</v>
          </cell>
          <cell r="AM68">
            <v>-1.0307098075915039E-2</v>
          </cell>
          <cell r="AN68">
            <v>-9.8975455438800319E-3</v>
          </cell>
          <cell r="AO68">
            <v>-2.6050545122795685E-3</v>
          </cell>
          <cell r="AP68">
            <v>2.370613127238309E-3</v>
          </cell>
          <cell r="AQ68">
            <v>-9.9583254014148793E-3</v>
          </cell>
          <cell r="AR68">
            <v>-7.0681916906655722E-3</v>
          </cell>
          <cell r="AW68">
            <v>-1.8494366506210263E-2</v>
          </cell>
          <cell r="AX68">
            <v>6.5652636805650089E-2</v>
          </cell>
          <cell r="AY68">
            <v>3.663696224509122E-2</v>
          </cell>
          <cell r="AZ68">
            <v>-2.0475324602023767E-2</v>
          </cell>
          <cell r="BA68">
            <v>4.7113960977924543E-3</v>
          </cell>
          <cell r="BB68">
            <v>-3.056570194338297E-2</v>
          </cell>
          <cell r="BC68">
            <v>-1.0307098075915039E-2</v>
          </cell>
          <cell r="BD68">
            <v>-9.8975455438800319E-3</v>
          </cell>
          <cell r="BE68">
            <v>-2.6050545122795685E-3</v>
          </cell>
          <cell r="BF68">
            <v>2.370613127238309E-3</v>
          </cell>
          <cell r="BG68">
            <v>-9.9583254014148793E-3</v>
          </cell>
          <cell r="BH68">
            <v>-7.0681916906655722E-3</v>
          </cell>
        </row>
        <row r="69">
          <cell r="B69">
            <v>1E-3</v>
          </cell>
          <cell r="C69">
            <v>2.7E-2</v>
          </cell>
          <cell r="D69">
            <v>0.36499999999999999</v>
          </cell>
          <cell r="E69">
            <v>0.245</v>
          </cell>
          <cell r="F69">
            <v>4.3999999999999997E-2</v>
          </cell>
          <cell r="G69">
            <v>7.0000000000000007E-2</v>
          </cell>
          <cell r="H69">
            <v>9.1999999999999998E-2</v>
          </cell>
          <cell r="I69">
            <v>0.05</v>
          </cell>
          <cell r="J69">
            <v>4.2999999999999997E-2</v>
          </cell>
          <cell r="K69">
            <v>2.8000000000000001E-2</v>
          </cell>
          <cell r="L69">
            <v>1.6E-2</v>
          </cell>
          <cell r="M69">
            <v>1.9E-2</v>
          </cell>
          <cell r="Q69">
            <v>4.9989471141284368E-3</v>
          </cell>
          <cell r="R69">
            <v>7.3190295965554542E-2</v>
          </cell>
          <cell r="S69">
            <v>0.39182545873905106</v>
          </cell>
          <cell r="T69">
            <v>0.27549897568379716</v>
          </cell>
          <cell r="U69">
            <v>4.8057451020441136E-2</v>
          </cell>
          <cell r="V69">
            <v>2.5863134003099964E-2</v>
          </cell>
          <cell r="W69">
            <v>8.3572376145652147E-2</v>
          </cell>
          <cell r="X69">
            <v>3.2192733876300249E-2</v>
          </cell>
          <cell r="Y69">
            <v>2.5956194848152578E-2</v>
          </cell>
          <cell r="Z69">
            <v>1.5286302097570639E-2</v>
          </cell>
          <cell r="AA69">
            <v>6.7068318907033686E-3</v>
          </cell>
          <cell r="AB69">
            <v>1.6851298615548651E-2</v>
          </cell>
          <cell r="AG69">
            <v>-3.9989471141284368E-3</v>
          </cell>
          <cell r="AH69">
            <v>-4.6190295965554545E-2</v>
          </cell>
          <cell r="AI69">
            <v>-2.6825458739051067E-2</v>
          </cell>
          <cell r="AJ69">
            <v>-3.0498975683797169E-2</v>
          </cell>
          <cell r="AK69">
            <v>-4.0574510204411385E-3</v>
          </cell>
          <cell r="AL69">
            <v>4.4136865996900046E-2</v>
          </cell>
          <cell r="AM69">
            <v>8.4276238543478516E-3</v>
          </cell>
          <cell r="AN69">
            <v>1.7807266123699754E-2</v>
          </cell>
          <cell r="AO69">
            <v>1.7043805151847419E-2</v>
          </cell>
          <cell r="AP69">
            <v>1.2713697902429362E-2</v>
          </cell>
          <cell r="AQ69">
            <v>9.2931681092966317E-3</v>
          </cell>
          <cell r="AR69">
            <v>2.1487013844513486E-3</v>
          </cell>
          <cell r="AW69">
            <v>-3.9989471141284368E-3</v>
          </cell>
          <cell r="AX69">
            <v>-4.6190295965554545E-2</v>
          </cell>
          <cell r="AY69">
            <v>-2.6825458739051067E-2</v>
          </cell>
          <cell r="AZ69">
            <v>-3.0498975683797169E-2</v>
          </cell>
          <cell r="BA69">
            <v>-4.0574510204411385E-3</v>
          </cell>
          <cell r="BB69">
            <v>4.4136865996900046E-2</v>
          </cell>
          <cell r="BC69">
            <v>8.4276238543478516E-3</v>
          </cell>
          <cell r="BD69">
            <v>1.7807266123699754E-2</v>
          </cell>
          <cell r="BE69">
            <v>1.7043805151847419E-2</v>
          </cell>
          <cell r="BF69">
            <v>1.2713697902429362E-2</v>
          </cell>
          <cell r="BG69">
            <v>9.2931681092966317E-3</v>
          </cell>
          <cell r="BH69">
            <v>2.1487013844513486E-3</v>
          </cell>
        </row>
        <row r="70">
          <cell r="B70">
            <v>1E-3</v>
          </cell>
          <cell r="C70">
            <v>3.0000000000000001E-3</v>
          </cell>
          <cell r="D70">
            <v>3.7999999999999999E-2</v>
          </cell>
          <cell r="E70">
            <v>0.437</v>
          </cell>
          <cell r="F70">
            <v>0.246</v>
          </cell>
          <cell r="G70">
            <v>3.5999999999999997E-2</v>
          </cell>
          <cell r="H70">
            <v>5.3999999999999999E-2</v>
          </cell>
          <cell r="I70">
            <v>7.0999999999999994E-2</v>
          </cell>
          <cell r="J70">
            <v>4.5999999999999999E-2</v>
          </cell>
          <cell r="K70">
            <v>2.1999999999999999E-2</v>
          </cell>
          <cell r="L70">
            <v>2.3E-2</v>
          </cell>
          <cell r="M70">
            <v>1.7999999999999999E-2</v>
          </cell>
          <cell r="Q70">
            <v>4.4021611931154871E-3</v>
          </cell>
          <cell r="R70">
            <v>1.0929424183812982E-2</v>
          </cell>
          <cell r="S70">
            <v>0.11740550783987391</v>
          </cell>
          <cell r="T70">
            <v>0.44811381475484852</v>
          </cell>
          <cell r="U70">
            <v>0.24732769916912475</v>
          </cell>
          <cell r="V70">
            <v>3.8362703158643839E-2</v>
          </cell>
          <cell r="W70">
            <v>1.6445645579463986E-2</v>
          </cell>
          <cell r="X70">
            <v>5.7160462184169723E-2</v>
          </cell>
          <cell r="Y70">
            <v>2.1040778681245563E-2</v>
          </cell>
          <cell r="Z70">
            <v>1.6274026570171154E-2</v>
          </cell>
          <cell r="AA70">
            <v>9.0495932872910433E-3</v>
          </cell>
          <cell r="AB70">
            <v>1.3488183398239074E-2</v>
          </cell>
          <cell r="AG70">
            <v>-3.402161193115487E-3</v>
          </cell>
          <cell r="AH70">
            <v>-7.9294241838129831E-3</v>
          </cell>
          <cell r="AI70">
            <v>-7.9405507839873907E-2</v>
          </cell>
          <cell r="AJ70">
            <v>-1.1113814754848517E-2</v>
          </cell>
          <cell r="AK70">
            <v>-1.3276991691247575E-3</v>
          </cell>
          <cell r="AL70">
            <v>-2.3627031586438418E-3</v>
          </cell>
          <cell r="AM70">
            <v>3.7554354420536014E-2</v>
          </cell>
          <cell r="AN70">
            <v>1.383953781583027E-2</v>
          </cell>
          <cell r="AO70">
            <v>2.4959221318754436E-2</v>
          </cell>
          <cell r="AP70">
            <v>5.7259734298288449E-3</v>
          </cell>
          <cell r="AQ70">
            <v>1.3950406712708956E-2</v>
          </cell>
          <cell r="AR70">
            <v>4.5118166017609242E-3</v>
          </cell>
          <cell r="AW70">
            <v>-3.402161193115487E-3</v>
          </cell>
          <cell r="AX70">
            <v>-7.9294241838129831E-3</v>
          </cell>
          <cell r="AY70">
            <v>-7.9405507839873907E-2</v>
          </cell>
          <cell r="AZ70">
            <v>-1.1113814754848517E-2</v>
          </cell>
          <cell r="BA70">
            <v>-1.3276991691247575E-3</v>
          </cell>
          <cell r="BB70">
            <v>-2.3627031586438418E-3</v>
          </cell>
          <cell r="BC70">
            <v>3.7554354420536014E-2</v>
          </cell>
          <cell r="BD70">
            <v>1.383953781583027E-2</v>
          </cell>
          <cell r="BE70">
            <v>2.4959221318754436E-2</v>
          </cell>
          <cell r="BF70">
            <v>5.7259734298288449E-3</v>
          </cell>
          <cell r="BG70">
            <v>1.3950406712708956E-2</v>
          </cell>
          <cell r="BH70">
            <v>4.5118166017609242E-3</v>
          </cell>
        </row>
        <row r="71">
          <cell r="B71">
            <v>1.3623978201634877E-3</v>
          </cell>
          <cell r="C71">
            <v>4.0871934604904629E-3</v>
          </cell>
          <cell r="D71">
            <v>1.0081743869209809E-2</v>
          </cell>
          <cell r="E71">
            <v>0.14332425068119892</v>
          </cell>
          <cell r="F71">
            <v>0.46185286103542234</v>
          </cell>
          <cell r="G71">
            <v>0.19673024523160762</v>
          </cell>
          <cell r="H71">
            <v>5.53133514986376E-2</v>
          </cell>
          <cell r="I71">
            <v>4.6049046321525886E-2</v>
          </cell>
          <cell r="J71">
            <v>4.0599455040871944E-2</v>
          </cell>
          <cell r="K71">
            <v>1.3351498637602179E-2</v>
          </cell>
          <cell r="L71">
            <v>1.11716621253406E-2</v>
          </cell>
          <cell r="M71">
            <v>1.6080000000000001E-2</v>
          </cell>
        </row>
        <row r="72">
          <cell r="B72">
            <v>7.3386776847590179E-2</v>
          </cell>
          <cell r="C72">
            <v>0.11545727134836414</v>
          </cell>
          <cell r="D72">
            <v>0.15099713381471982</v>
          </cell>
          <cell r="E72">
            <v>0.16014375934356842</v>
          </cell>
          <cell r="F72">
            <v>0.14774968538434802</v>
          </cell>
          <cell r="G72">
            <v>0.10916298983807751</v>
          </cell>
          <cell r="H72">
            <v>8.0893015335526341E-2</v>
          </cell>
          <cell r="I72">
            <v>6.5738714558381428E-2</v>
          </cell>
          <cell r="J72">
            <v>5.5877908082215426E-2</v>
          </cell>
          <cell r="K72">
            <v>3.3604197035833706E-2</v>
          </cell>
          <cell r="L72">
            <v>2.1383174607569846E-2</v>
          </cell>
          <cell r="M72">
            <v>2.2518476748964931E-2</v>
          </cell>
        </row>
        <row r="80">
          <cell r="B80">
            <v>0.55649000000000004</v>
          </cell>
          <cell r="C80">
            <v>0.32601000000000002</v>
          </cell>
          <cell r="D80">
            <v>8.7099999999999997E-2</v>
          </cell>
          <cell r="E80">
            <v>5.8399999999999997E-3</v>
          </cell>
          <cell r="F80">
            <v>1.6920000000000001E-2</v>
          </cell>
          <cell r="G80">
            <v>7.6299999999999996E-3</v>
          </cell>
          <cell r="Q80">
            <v>0.37664166117905296</v>
          </cell>
          <cell r="R80">
            <v>0.41591178981463517</v>
          </cell>
          <cell r="S80">
            <v>0.15350179037483938</v>
          </cell>
          <cell r="T80">
            <v>1.9899974163723943E-3</v>
          </cell>
          <cell r="U80">
            <v>4.4162668636845585E-2</v>
          </cell>
          <cell r="V80">
            <v>7.7920925782545255E-3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</row>
        <row r="81">
          <cell r="B81">
            <v>5.9959999999999999E-2</v>
          </cell>
          <cell r="C81">
            <v>0.54988000000000004</v>
          </cell>
          <cell r="D81">
            <v>0.27129999999999999</v>
          </cell>
          <cell r="E81">
            <v>0.10546999999999999</v>
          </cell>
          <cell r="F81">
            <v>3.8999999999999998E-3</v>
          </cell>
          <cell r="G81">
            <v>9.4999999999999998E-3</v>
          </cell>
          <cell r="Q81">
            <v>3.0222326643797946E-2</v>
          </cell>
          <cell r="R81">
            <v>0.41591844895728675</v>
          </cell>
          <cell r="S81">
            <v>0.39668037169273807</v>
          </cell>
          <cell r="T81">
            <v>0.12372061966829397</v>
          </cell>
          <cell r="U81">
            <v>1.5565204595216239E-3</v>
          </cell>
          <cell r="V81">
            <v>3.1901712578361593E-2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</row>
        <row r="82">
          <cell r="B82">
            <v>5.0638597204918936E-2</v>
          </cell>
          <cell r="C82">
            <v>8.674243387319586E-3</v>
          </cell>
          <cell r="D82">
            <v>0.41069809225971032</v>
          </cell>
          <cell r="E82">
            <v>0.38490842677107961</v>
          </cell>
          <cell r="F82">
            <v>0.12455399896604036</v>
          </cell>
          <cell r="G82">
            <v>5.4579508953920995E-3</v>
          </cell>
          <cell r="H82">
            <v>1.5068690515539057E-2</v>
          </cell>
          <cell r="Q82">
            <v>7.1713997630613605E-2</v>
          </cell>
          <cell r="R82">
            <v>3.2475976316903271E-2</v>
          </cell>
          <cell r="S82">
            <v>0.40747831709236032</v>
          </cell>
          <cell r="T82">
            <v>0.35019833860968558</v>
          </cell>
          <cell r="U82">
            <v>0.11583627159762969</v>
          </cell>
          <cell r="V82">
            <v>6.5755070735792464E-4</v>
          </cell>
          <cell r="W82">
            <v>2.1639548045449705E-2</v>
          </cell>
          <cell r="AG82">
            <v>-1.984006418006011E-2</v>
          </cell>
          <cell r="AH82">
            <v>-1.9236173449741233E-2</v>
          </cell>
          <cell r="AI82">
            <v>-9.923447700708965E-3</v>
          </cell>
          <cell r="AJ82">
            <v>2.5905839689438437E-2</v>
          </cell>
          <cell r="AK82">
            <v>1.8858298777609139E-2</v>
          </cell>
          <cell r="AL82">
            <v>4.9205483942608569E-3</v>
          </cell>
          <cell r="AM82">
            <v>-6.8500153079825536E-4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W82">
            <v>-1.984006418006011E-2</v>
          </cell>
          <cell r="AX82">
            <v>-1.9236173449741233E-2</v>
          </cell>
          <cell r="AY82">
            <v>-9.923447700708965E-3</v>
          </cell>
          <cell r="AZ82">
            <v>2.5905839689438437E-2</v>
          </cell>
          <cell r="BA82">
            <v>1.8858298777609139E-2</v>
          </cell>
          <cell r="BB82">
            <v>4.9205483942608569E-3</v>
          </cell>
          <cell r="BC82">
            <v>-6.8500153079825536E-4</v>
          </cell>
        </row>
        <row r="83">
          <cell r="B83">
            <v>0.61855895507844993</v>
          </cell>
          <cell r="C83">
            <v>7.1188766206091256E-2</v>
          </cell>
          <cell r="D83">
            <v>1.1621330012500654E-2</v>
          </cell>
          <cell r="E83">
            <v>0.16727110257665562</v>
          </cell>
          <cell r="F83">
            <v>9.4409245096781044E-2</v>
          </cell>
          <cell r="G83">
            <v>3.3781867556447027E-2</v>
          </cell>
          <cell r="H83">
            <v>5.497752575784222E-4</v>
          </cell>
          <cell r="I83">
            <v>2.6189582154960574E-3</v>
          </cell>
          <cell r="Q83">
            <v>0.5852027322160458</v>
          </cell>
          <cell r="R83">
            <v>4.1847230239013031E-2</v>
          </cell>
          <cell r="S83">
            <v>1.6246168262360364E-2</v>
          </cell>
          <cell r="T83">
            <v>0.16485919183870743</v>
          </cell>
          <cell r="U83">
            <v>0.14881617398893379</v>
          </cell>
          <cell r="V83">
            <v>3.6605418850093809E-2</v>
          </cell>
          <cell r="W83">
            <v>1.10618797991704E-4</v>
          </cell>
          <cell r="X83">
            <v>6.3124658068540555E-3</v>
          </cell>
          <cell r="AG83">
            <v>3.8811411137553264E-2</v>
          </cell>
          <cell r="AH83">
            <v>1.8508402305768779E-2</v>
          </cell>
          <cell r="AI83">
            <v>-4.4333657714570891E-3</v>
          </cell>
          <cell r="AJ83">
            <v>-9.6912037685154273E-3</v>
          </cell>
          <cell r="AK83">
            <v>-4.2759926037298432E-2</v>
          </cell>
          <cell r="AL83">
            <v>9.4295322012892535E-4</v>
          </cell>
          <cell r="AM83">
            <v>4.7301832470236836E-4</v>
          </cell>
          <cell r="AN83">
            <v>-1.851289410882345E-3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W83">
            <v>3.8811411137553264E-2</v>
          </cell>
          <cell r="AX83">
            <v>1.8508402305768779E-2</v>
          </cell>
          <cell r="AY83">
            <v>-4.4333657714570891E-3</v>
          </cell>
          <cell r="AZ83">
            <v>-9.6912037685154273E-3</v>
          </cell>
          <cell r="BA83">
            <v>-4.2759926037298432E-2</v>
          </cell>
          <cell r="BB83">
            <v>9.4295322012892535E-4</v>
          </cell>
          <cell r="BC83">
            <v>4.7301832470236836E-4</v>
          </cell>
          <cell r="BD83">
            <v>-1.851289410882345E-3</v>
          </cell>
        </row>
        <row r="84">
          <cell r="B84">
            <v>0.21626444404478215</v>
          </cell>
          <cell r="C84">
            <v>0.55225428263117671</v>
          </cell>
          <cell r="D84">
            <v>3.0520772447282046E-2</v>
          </cell>
          <cell r="E84">
            <v>8.7956926397194379E-3</v>
          </cell>
          <cell r="F84">
            <v>0.11906220493682838</v>
          </cell>
          <cell r="G84">
            <v>6.0046760487388155E-2</v>
          </cell>
          <cell r="H84">
            <v>9.5544265095993883E-3</v>
          </cell>
          <cell r="I84">
            <v>1.9755181871318737E-3</v>
          </cell>
          <cell r="J84">
            <v>1.5258981160919023E-3</v>
          </cell>
          <cell r="Q84">
            <v>0.32408953460809814</v>
          </cell>
          <cell r="R84">
            <v>0.44507568402590197</v>
          </cell>
          <cell r="S84">
            <v>2.7749567914888907E-2</v>
          </cell>
          <cell r="T84">
            <v>9.6057583328907001E-3</v>
          </cell>
          <cell r="U84">
            <v>0.10396987534596543</v>
          </cell>
          <cell r="V84">
            <v>7.0345095440582095E-2</v>
          </cell>
          <cell r="W84">
            <v>1.6517996470731142E-2</v>
          </cell>
          <cell r="X84">
            <v>4.0720512213225518E-5</v>
          </cell>
          <cell r="Y84">
            <v>2.6057673487284781E-3</v>
          </cell>
          <cell r="AG84">
            <v>-9.0573024647941786E-2</v>
          </cell>
          <cell r="AH84">
            <v>6.128867718503106E-2</v>
          </cell>
          <cell r="AI84">
            <v>-4.6559102029211097E-3</v>
          </cell>
          <cell r="AJ84">
            <v>2.1840337748461371E-4</v>
          </cell>
          <cell r="AK84">
            <v>3.1042127575315728E-2</v>
          </cell>
          <cell r="AL84">
            <v>3.9795872162940935E-3</v>
          </cell>
          <cell r="AM84">
            <v>-3.2076878791298946E-3</v>
          </cell>
          <cell r="AN84">
            <v>1.9529773253338214E-3</v>
          </cell>
          <cell r="AO84">
            <v>-4.5149949466311316E-5</v>
          </cell>
          <cell r="AP84">
            <v>0</v>
          </cell>
          <cell r="AQ84">
            <v>0</v>
          </cell>
          <cell r="AR84">
            <v>0</v>
          </cell>
          <cell r="AW84">
            <v>-9.0573024647941786E-2</v>
          </cell>
          <cell r="AX84">
            <v>6.128867718503106E-2</v>
          </cell>
          <cell r="AY84">
            <v>-4.6559102029211097E-3</v>
          </cell>
          <cell r="AZ84">
            <v>2.1840337748461371E-4</v>
          </cell>
          <cell r="BA84">
            <v>3.1042127575315728E-2</v>
          </cell>
          <cell r="BB84">
            <v>3.9795872162940935E-3</v>
          </cell>
          <cell r="BC84">
            <v>-3.2076878791298946E-3</v>
          </cell>
          <cell r="BD84">
            <v>1.9529773253338214E-3</v>
          </cell>
          <cell r="BE84">
            <v>-4.5149949466311316E-5</v>
          </cell>
        </row>
        <row r="85">
          <cell r="B85">
            <v>7.0177275695120292E-2</v>
          </cell>
          <cell r="C85">
            <v>0.38822638069308762</v>
          </cell>
          <cell r="D85">
            <v>0.44052004155733226</v>
          </cell>
          <cell r="E85">
            <v>1.5873504736796717E-2</v>
          </cell>
          <cell r="F85">
            <v>1.6569548987963978E-2</v>
          </cell>
          <cell r="G85">
            <v>4.9532069366250681E-2</v>
          </cell>
          <cell r="H85">
            <v>1.5625064163371234E-2</v>
          </cell>
          <cell r="I85">
            <v>2.5316299754844589E-3</v>
          </cell>
          <cell r="J85">
            <v>9.0957995064040178E-4</v>
          </cell>
          <cell r="K85">
            <v>3.4904873952340472E-5</v>
          </cell>
          <cell r="Q85">
            <v>0.10966160878932948</v>
          </cell>
          <cell r="R85">
            <v>0.33539556724632702</v>
          </cell>
          <cell r="S85">
            <v>0.40256844408747877</v>
          </cell>
          <cell r="T85">
            <v>2.2072915535614992E-2</v>
          </cell>
          <cell r="U85">
            <v>8.4744731830441802E-3</v>
          </cell>
          <cell r="V85">
            <v>6.7302418688275967E-2</v>
          </cell>
          <cell r="W85">
            <v>4.3594160892731243E-2</v>
          </cell>
          <cell r="X85">
            <v>9.7199817683491421E-3</v>
          </cell>
          <cell r="Y85">
            <v>2.3353274820896381E-5</v>
          </cell>
          <cell r="Z85">
            <v>1.1870765340282836E-3</v>
          </cell>
          <cell r="AG85">
            <v>-2.4007772851494788E-2</v>
          </cell>
          <cell r="AH85">
            <v>3.9926081094424859E-2</v>
          </cell>
          <cell r="AI85">
            <v>-3.088840686193417E-4</v>
          </cell>
          <cell r="AJ85">
            <v>-9.4027565618672281E-3</v>
          </cell>
          <cell r="AK85">
            <v>1.0661073055423069E-2</v>
          </cell>
          <cell r="AL85">
            <v>6.5940342995673973E-4</v>
          </cell>
          <cell r="AM85">
            <v>-1.4059208748288969E-2</v>
          </cell>
          <cell r="AN85">
            <v>-3.8478412323740426E-3</v>
          </cell>
          <cell r="AO85">
            <v>8.9863100987128922E-4</v>
          </cell>
          <cell r="AP85">
            <v>-5.1872512703170421E-4</v>
          </cell>
          <cell r="AQ85">
            <v>0</v>
          </cell>
          <cell r="AR85">
            <v>0</v>
          </cell>
          <cell r="AW85">
            <v>-2.4007772851494788E-2</v>
          </cell>
          <cell r="AX85">
            <v>3.9926081094424859E-2</v>
          </cell>
          <cell r="AY85">
            <v>-3.088840686193417E-4</v>
          </cell>
          <cell r="AZ85">
            <v>-9.4027565618672281E-3</v>
          </cell>
          <cell r="BA85">
            <v>1.0661073055423069E-2</v>
          </cell>
          <cell r="BB85">
            <v>6.5940342995673973E-4</v>
          </cell>
          <cell r="BC85">
            <v>-1.4059208748288969E-2</v>
          </cell>
          <cell r="BD85">
            <v>-3.8478412323740426E-3</v>
          </cell>
          <cell r="BE85">
            <v>8.9863100987128922E-4</v>
          </cell>
          <cell r="BF85">
            <v>-5.1872512703170421E-4</v>
          </cell>
        </row>
        <row r="86">
          <cell r="B86">
            <v>5.2196164526963169E-3</v>
          </cell>
          <cell r="C86">
            <v>3.8700766222248072E-2</v>
          </cell>
          <cell r="D86">
            <v>0.33761177103476353</v>
          </cell>
          <cell r="E86">
            <v>0.41498713270038817</v>
          </cell>
          <cell r="F86">
            <v>3.7345701449570362E-2</v>
          </cell>
          <cell r="G86">
            <v>0.11257796711205455</v>
          </cell>
          <cell r="H86">
            <v>5.149536922607191E-2</v>
          </cell>
          <cell r="I86">
            <v>2.0384128876546619E-3</v>
          </cell>
          <cell r="J86">
            <v>2.3262914552406986E-5</v>
          </cell>
          <cell r="K86">
            <v>0</v>
          </cell>
          <cell r="L86">
            <v>0</v>
          </cell>
          <cell r="Q86">
            <v>3.0564757770913335E-2</v>
          </cell>
          <cell r="R86">
            <v>0.13049802614139519</v>
          </cell>
          <cell r="S86">
            <v>0.35243339662623591</v>
          </cell>
          <cell r="T86">
            <v>0.37448735225889807</v>
          </cell>
          <cell r="U86">
            <v>2.2011824455320586E-2</v>
          </cell>
          <cell r="V86">
            <v>6.1402364116574836E-3</v>
          </cell>
          <cell r="W86">
            <v>4.7053655466089792E-2</v>
          </cell>
          <cell r="X86">
            <v>2.9760190087694802E-2</v>
          </cell>
          <cell r="Y86">
            <v>6.3397820399614564E-3</v>
          </cell>
          <cell r="Z86">
            <v>1.4663043279577872E-5</v>
          </cell>
          <cell r="AA86">
            <v>6.9611569855406385E-4</v>
          </cell>
          <cell r="AG86">
            <v>-1.9457879569769323E-2</v>
          </cell>
          <cell r="AH86">
            <v>-9.018173416044542E-2</v>
          </cell>
          <cell r="AI86">
            <v>-4.3034872722955531E-2</v>
          </cell>
          <cell r="AJ86">
            <v>2.7033059898172618E-2</v>
          </cell>
          <cell r="AK86">
            <v>1.6463713378296444E-2</v>
          </cell>
          <cell r="AL86">
            <v>0.10870772835681029</v>
          </cell>
          <cell r="AM86">
            <v>2.0635240305942472E-2</v>
          </cell>
          <cell r="AN86">
            <v>-1.6177654156426167E-2</v>
          </cell>
          <cell r="AO86">
            <v>-3.6972910663987343E-3</v>
          </cell>
          <cell r="AP86">
            <v>-6.1210963493665272E-6</v>
          </cell>
          <cell r="AQ86">
            <v>-2.8418916687753904E-4</v>
          </cell>
          <cell r="AR86">
            <v>0</v>
          </cell>
          <cell r="AW86">
            <v>-1.9457879569769323E-2</v>
          </cell>
          <cell r="AX86">
            <v>-9.018173416044542E-2</v>
          </cell>
          <cell r="AY86">
            <v>-4.3034872722955531E-2</v>
          </cell>
          <cell r="AZ86">
            <v>2.7033059898172618E-2</v>
          </cell>
          <cell r="BA86">
            <v>1.6463713378296444E-2</v>
          </cell>
          <cell r="BB86">
            <v>0.10870772835681029</v>
          </cell>
          <cell r="BC86">
            <v>2.0635240305942472E-2</v>
          </cell>
          <cell r="BD86">
            <v>-1.6177654156426167E-2</v>
          </cell>
          <cell r="BE86">
            <v>-3.6972910663987343E-3</v>
          </cell>
          <cell r="BF86">
            <v>-6.1210963493665272E-6</v>
          </cell>
          <cell r="BG86">
            <v>-2.8418916687753904E-4</v>
          </cell>
        </row>
        <row r="87">
          <cell r="B87">
            <v>3.0564065015263188E-2</v>
          </cell>
          <cell r="C87">
            <v>2.3890794170377032E-2</v>
          </cell>
          <cell r="D87">
            <v>9.7716713057429433E-2</v>
          </cell>
          <cell r="E87">
            <v>0.35920986750367445</v>
          </cell>
          <cell r="F87">
            <v>0.38539417791440772</v>
          </cell>
          <cell r="G87">
            <v>5.7615173817304743E-2</v>
          </cell>
          <cell r="H87">
            <v>3.2141530410625549E-2</v>
          </cell>
          <cell r="I87">
            <v>1.1583333781986746E-2</v>
          </cell>
          <cell r="J87">
            <v>1.8789604879913427E-3</v>
          </cell>
          <cell r="K87">
            <v>5.3838409398032748E-6</v>
          </cell>
          <cell r="L87">
            <v>0</v>
          </cell>
          <cell r="M87">
            <v>0</v>
          </cell>
          <cell r="Q87">
            <v>6.4155868561582285E-2</v>
          </cell>
          <cell r="R87">
            <v>3.4825200244132562E-2</v>
          </cell>
          <cell r="S87">
            <v>0.13345681191467887</v>
          </cell>
          <cell r="T87">
            <v>0.32266971329784611</v>
          </cell>
          <cell r="U87">
            <v>0.36961439136158314</v>
          </cell>
          <cell r="V87">
            <v>1.5835805943861754E-2</v>
          </cell>
          <cell r="W87">
            <v>3.627002130048477E-3</v>
          </cell>
          <cell r="X87">
            <v>3.1956771612795254E-2</v>
          </cell>
          <cell r="Y87">
            <v>1.9494965194047788E-2</v>
          </cell>
          <cell r="Z87">
            <v>3.9613830161103923E-3</v>
          </cell>
          <cell r="AA87">
            <v>8.7308607481722611E-6</v>
          </cell>
          <cell r="AB87">
            <v>3.9335586256502301E-4</v>
          </cell>
          <cell r="AG87">
            <v>-1.6520695302517416E-2</v>
          </cell>
          <cell r="AH87">
            <v>-1.1957186770290444E-2</v>
          </cell>
          <cell r="AI87">
            <v>-5.3597372311007696E-2</v>
          </cell>
          <cell r="AJ87">
            <v>-4.4574067258764671E-3</v>
          </cell>
          <cell r="AK87">
            <v>3.569689248630592E-2</v>
          </cell>
          <cell r="AL87">
            <v>4.2432507818393049E-2</v>
          </cell>
          <cell r="AM87">
            <v>2.9908130073162266E-2</v>
          </cell>
          <cell r="AN87">
            <v>-9.1817314905672572E-3</v>
          </cell>
          <cell r="AO87">
            <v>-9.8891847133151713E-3</v>
          </cell>
          <cell r="AP87">
            <v>-2.2748308937470311E-3</v>
          </cell>
          <cell r="AQ87">
            <v>-3.5544170099054278E-6</v>
          </cell>
          <cell r="AR87">
            <v>-1.5556775352988688E-4</v>
          </cell>
          <cell r="AW87">
            <v>-1.6520695302517416E-2</v>
          </cell>
          <cell r="AX87">
            <v>-1.1957186770290444E-2</v>
          </cell>
          <cell r="AY87">
            <v>-5.3597372311007696E-2</v>
          </cell>
          <cell r="AZ87">
            <v>-4.4574067258764671E-3</v>
          </cell>
          <cell r="BA87">
            <v>3.569689248630592E-2</v>
          </cell>
          <cell r="BB87">
            <v>4.2432507818393049E-2</v>
          </cell>
          <cell r="BC87">
            <v>2.9908130073162266E-2</v>
          </cell>
          <cell r="BD87">
            <v>-9.1817314905672572E-3</v>
          </cell>
          <cell r="BE87">
            <v>-9.8891847133151713E-3</v>
          </cell>
          <cell r="BF87">
            <v>-2.2748308937470311E-3</v>
          </cell>
          <cell r="BG87">
            <v>-3.5544170099054278E-6</v>
          </cell>
          <cell r="BH87">
            <v>-1.5556775352988688E-4</v>
          </cell>
        </row>
        <row r="88">
          <cell r="B88">
            <v>0</v>
          </cell>
          <cell r="C88">
            <v>2.006741213184032E-2</v>
          </cell>
          <cell r="D88">
            <v>2.9784757671742757E-2</v>
          </cell>
          <cell r="E88">
            <v>0.17449821705456633</v>
          </cell>
          <cell r="F88">
            <v>0.44611520991106757</v>
          </cell>
          <cell r="G88">
            <v>0.26634431742287246</v>
          </cell>
          <cell r="H88">
            <v>4.5153630139393913E-2</v>
          </cell>
          <cell r="I88">
            <v>1.303327253482895E-2</v>
          </cell>
          <cell r="J88">
            <v>4.6399543815932856E-3</v>
          </cell>
          <cell r="K88">
            <v>3.6322875209442385E-4</v>
          </cell>
          <cell r="L88">
            <v>0</v>
          </cell>
          <cell r="M88">
            <v>0</v>
          </cell>
          <cell r="Q88">
            <v>1.3813103894511408E-2</v>
          </cell>
          <cell r="R88">
            <v>8.3415676860577798E-2</v>
          </cell>
          <cell r="S88">
            <v>4.0619965648253861E-2</v>
          </cell>
          <cell r="T88">
            <v>0.13898063691778037</v>
          </cell>
          <cell r="U88">
            <v>0.3604722086562871</v>
          </cell>
          <cell r="V88">
            <v>0.30786896047381035</v>
          </cell>
          <cell r="W88">
            <v>1.2162730203660035E-2</v>
          </cell>
          <cell r="X88">
            <v>2.5389323594581827E-3</v>
          </cell>
          <cell r="Y88">
            <v>2.3493220922483269E-2</v>
          </cell>
          <cell r="Z88">
            <v>1.3735534130037114E-2</v>
          </cell>
          <cell r="AA88">
            <v>2.6565821326002201E-3</v>
          </cell>
          <cell r="AB88">
            <v>2.4244780054024596E-4</v>
          </cell>
          <cell r="AG88">
            <v>-8.9315741168774672E-3</v>
          </cell>
          <cell r="AH88">
            <v>-5.7722007261939309E-2</v>
          </cell>
          <cell r="AI88">
            <v>-1.8066061149749419E-2</v>
          </cell>
          <cell r="AJ88">
            <v>1.0416075435912997E-2</v>
          </cell>
          <cell r="AK88">
            <v>7.5100581013671397E-2</v>
          </cell>
          <cell r="AL88">
            <v>-2.5889209261836132E-2</v>
          </cell>
          <cell r="AM88">
            <v>3.3372652676364731E-2</v>
          </cell>
          <cell r="AN88">
            <v>1.1504094533081669E-2</v>
          </cell>
          <cell r="AO88">
            <v>-1.042302506901386E-2</v>
          </cell>
          <cell r="AP88">
            <v>-7.77683247555033E-3</v>
          </cell>
          <cell r="AQ88">
            <v>-1.4923537970481298E-3</v>
          </cell>
          <cell r="AR88">
            <v>-9.2340527016167496E-5</v>
          </cell>
          <cell r="AW88">
            <v>-8.9315741168774672E-3</v>
          </cell>
          <cell r="AX88">
            <v>-5.7722007261939309E-2</v>
          </cell>
          <cell r="AY88">
            <v>-1.8066061149749419E-2</v>
          </cell>
          <cell r="AZ88">
            <v>1.0416075435912997E-2</v>
          </cell>
          <cell r="BA88">
            <v>7.5100581013671397E-2</v>
          </cell>
          <cell r="BB88">
            <v>-2.5889209261836132E-2</v>
          </cell>
          <cell r="BC88">
            <v>3.3372652676364731E-2</v>
          </cell>
          <cell r="BD88">
            <v>1.1504094533081669E-2</v>
          </cell>
          <cell r="BE88">
            <v>-1.042302506901386E-2</v>
          </cell>
          <cell r="BF88">
            <v>-7.77683247555033E-3</v>
          </cell>
          <cell r="BG88">
            <v>-1.4923537970481298E-3</v>
          </cell>
          <cell r="BH88">
            <v>-9.2340527016167496E-5</v>
          </cell>
        </row>
        <row r="89">
          <cell r="B89">
            <v>2.2445451819448608E-3</v>
          </cell>
          <cell r="C89">
            <v>4.1098548321662287E-3</v>
          </cell>
          <cell r="D89">
            <v>0.10363272361667225</v>
          </cell>
          <cell r="E89">
            <v>0.11413225618683083</v>
          </cell>
          <cell r="F89">
            <v>0.28996084172649178</v>
          </cell>
          <cell r="G89">
            <v>0.4018882401707442</v>
          </cell>
          <cell r="H89">
            <v>6.6763092445275438E-2</v>
          </cell>
          <cell r="I89">
            <v>1.1469669976893091E-2</v>
          </cell>
          <cell r="J89">
            <v>4.7669024394546063E-3</v>
          </cell>
          <cell r="K89">
            <v>1.0318734235267141E-3</v>
          </cell>
          <cell r="L89">
            <v>0</v>
          </cell>
          <cell r="M89">
            <v>0</v>
          </cell>
          <cell r="Q89">
            <v>6.2192321124999894E-2</v>
          </cell>
          <cell r="R89">
            <v>1.8396874205657429E-2</v>
          </cell>
          <cell r="S89">
            <v>0.10029296915220827</v>
          </cell>
          <cell r="T89">
            <v>4.3985754364100682E-2</v>
          </cell>
          <cell r="U89">
            <v>0.16232405947350287</v>
          </cell>
          <cell r="V89">
            <v>0.31405442815725476</v>
          </cell>
          <cell r="W89">
            <v>0.25832742497291955</v>
          </cell>
          <cell r="X89">
            <v>9.6393554810497387E-3</v>
          </cell>
          <cell r="Y89">
            <v>1.8402072624389208E-3</v>
          </cell>
          <cell r="Z89">
            <v>1.7362209081154815E-2</v>
          </cell>
          <cell r="AA89">
            <v>9.6585027556808228E-3</v>
          </cell>
          <cell r="AB89">
            <v>1.9258939690322129E-3</v>
          </cell>
          <cell r="AG89">
            <v>-4.4962279306006402E-2</v>
          </cell>
          <cell r="AH89">
            <v>-1.1147329048738799E-2</v>
          </cell>
          <cell r="AI89">
            <v>-4.1947424190654364E-3</v>
          </cell>
          <cell r="AJ89">
            <v>5.9895632558902928E-2</v>
          </cell>
          <cell r="AK89">
            <v>0.11419109136852293</v>
          </cell>
          <cell r="AL89">
            <v>7.5985725716529673E-2</v>
          </cell>
          <cell r="AM89">
            <v>-0.17899976776539456</v>
          </cell>
          <cell r="AN89">
            <v>2.1181477541180431E-3</v>
          </cell>
          <cell r="AO89">
            <v>3.6831297152168201E-3</v>
          </cell>
          <cell r="AP89">
            <v>-9.9376298831118891E-3</v>
          </cell>
          <cell r="AQ89">
            <v>-5.6066697619359439E-3</v>
          </cell>
          <cell r="AR89">
            <v>-1.0253089290373197E-3</v>
          </cell>
          <cell r="AW89">
            <v>-4.4962279306006402E-2</v>
          </cell>
          <cell r="AX89">
            <v>-1.1147329048738799E-2</v>
          </cell>
          <cell r="AY89">
            <v>-4.1947424190654364E-3</v>
          </cell>
          <cell r="AZ89">
            <v>5.9895632558902928E-2</v>
          </cell>
          <cell r="BA89">
            <v>0.11419109136852293</v>
          </cell>
          <cell r="BB89">
            <v>7.5985725716529673E-2</v>
          </cell>
          <cell r="BC89">
            <v>-0.17899976776539456</v>
          </cell>
          <cell r="BD89">
            <v>2.1181477541180431E-3</v>
          </cell>
          <cell r="BE89">
            <v>3.6831297152168201E-3</v>
          </cell>
          <cell r="BF89">
            <v>-9.9376298831118891E-3</v>
          </cell>
          <cell r="BG89">
            <v>-5.6066697619359439E-3</v>
          </cell>
          <cell r="BH89">
            <v>-1.0253089290373197E-3</v>
          </cell>
        </row>
        <row r="90">
          <cell r="B90">
            <v>5.896886839070993E-2</v>
          </cell>
          <cell r="C90">
            <v>9.2280890814625802E-2</v>
          </cell>
          <cell r="D90">
            <v>1.7278587561315395E-2</v>
          </cell>
          <cell r="E90">
            <v>0.14663766894014055</v>
          </cell>
          <cell r="F90">
            <v>5.0551524474509266E-2</v>
          </cell>
          <cell r="G90">
            <v>0.16324063553040433</v>
          </cell>
          <cell r="H90">
            <v>0.29443115226877431</v>
          </cell>
          <cell r="I90">
            <v>0.1370310087691135</v>
          </cell>
          <cell r="J90">
            <v>2.2557923330978898E-2</v>
          </cell>
          <cell r="K90">
            <v>1.68318960102069E-2</v>
          </cell>
          <cell r="L90">
            <v>1.8984390922110951E-4</v>
          </cell>
          <cell r="M90">
            <v>0</v>
          </cell>
          <cell r="Q90">
            <v>6.0564388378794291E-2</v>
          </cell>
          <cell r="R90">
            <v>8.57068655740338E-2</v>
          </cell>
          <cell r="S90">
            <v>2.28983319300947E-2</v>
          </cell>
          <cell r="T90">
            <v>0.11251686287888704</v>
          </cell>
          <cell r="U90">
            <v>5.3097217652818815E-2</v>
          </cell>
          <cell r="V90">
            <v>0.14645471439972976</v>
          </cell>
          <cell r="W90">
            <v>0.2728430619006284</v>
          </cell>
          <cell r="X90">
            <v>0.21639023143395381</v>
          </cell>
          <cell r="Y90">
            <v>7.5922310107818291E-3</v>
          </cell>
          <cell r="Z90">
            <v>1.3351344202661864E-3</v>
          </cell>
          <cell r="AA90">
            <v>1.2657711156867448E-2</v>
          </cell>
          <cell r="AB90">
            <v>7.9432492631439141E-3</v>
          </cell>
          <cell r="AG90">
            <v>1.3931375177169213E-2</v>
          </cell>
          <cell r="AH90">
            <v>9.3572863809501805E-3</v>
          </cell>
          <cell r="AI90">
            <v>-4.4751280291645268E-3</v>
          </cell>
          <cell r="AJ90">
            <v>2.0900659901372853E-2</v>
          </cell>
          <cell r="AK90">
            <v>-9.1539569665522597E-3</v>
          </cell>
          <cell r="AL90">
            <v>4.3562651978748257E-3</v>
          </cell>
          <cell r="AM90">
            <v>1.2391040589284974E-2</v>
          </cell>
          <cell r="AN90">
            <v>-6.6675302856763291E-2</v>
          </cell>
          <cell r="AO90">
            <v>1.5276140593426527E-2</v>
          </cell>
          <cell r="AP90">
            <v>1.6073281449654985E-2</v>
          </cell>
          <cell r="AQ90">
            <v>-7.5895437038121551E-3</v>
          </cell>
          <cell r="AR90">
            <v>-4.3921177334413164E-3</v>
          </cell>
          <cell r="AW90">
            <v>1.3931375177169213E-2</v>
          </cell>
          <cell r="AX90">
            <v>9.3572863809501805E-3</v>
          </cell>
          <cell r="AY90">
            <v>-4.4751280291645268E-3</v>
          </cell>
          <cell r="AZ90">
            <v>2.0900659901372853E-2</v>
          </cell>
          <cell r="BA90">
            <v>-9.1539569665522597E-3</v>
          </cell>
          <cell r="BB90">
            <v>4.3562651978748257E-3</v>
          </cell>
          <cell r="BC90">
            <v>1.2391040589284974E-2</v>
          </cell>
          <cell r="BD90">
            <v>-6.6675302856763291E-2</v>
          </cell>
          <cell r="BE90">
            <v>1.5276140593426527E-2</v>
          </cell>
          <cell r="BF90">
            <v>1.6073281449654985E-2</v>
          </cell>
          <cell r="BG90">
            <v>-7.5895437038121551E-3</v>
          </cell>
          <cell r="BH90">
            <v>-4.3921177334413164E-3</v>
          </cell>
        </row>
        <row r="91">
          <cell r="B91">
            <v>9.1303002166511914E-4</v>
          </cell>
          <cell r="C91">
            <v>9.6224079232435783E-2</v>
          </cell>
          <cell r="D91">
            <v>0.16884091612503868</v>
          </cell>
          <cell r="E91">
            <v>4.1283658310120708E-2</v>
          </cell>
          <cell r="F91">
            <v>0.14820489012689569</v>
          </cell>
          <cell r="G91">
            <v>4.9261064685855775E-2</v>
          </cell>
          <cell r="H91">
            <v>0.16013231197771588</v>
          </cell>
          <cell r="I91">
            <v>0.19523754255648407</v>
          </cell>
          <cell r="J91">
            <v>0.11956437635406995</v>
          </cell>
          <cell r="K91">
            <v>1.1022129371711544E-2</v>
          </cell>
          <cell r="L91">
            <v>6.7432683379758593E-3</v>
          </cell>
          <cell r="M91">
            <v>2.5727329000309503E-3</v>
          </cell>
          <cell r="Q91">
            <v>2.1308020598961398E-2</v>
          </cell>
          <cell r="R91">
            <v>8.6432026345556398E-2</v>
          </cell>
          <cell r="S91">
            <v>0.11051202863575535</v>
          </cell>
          <cell r="T91">
            <v>2.6700191469766803E-2</v>
          </cell>
          <cell r="U91">
            <v>0.14131805295695135</v>
          </cell>
          <cell r="V91">
            <v>4.9678726069660901E-2</v>
          </cell>
          <cell r="W91">
            <v>0.13064697707489492</v>
          </cell>
          <cell r="X91">
            <v>0.23325593012943044</v>
          </cell>
          <cell r="Y91">
            <v>0.17896341419800366</v>
          </cell>
          <cell r="Z91">
            <v>5.7545225619789944E-3</v>
          </cell>
          <cell r="AA91">
            <v>9.833759520817872E-4</v>
          </cell>
          <cell r="AB91">
            <v>1.4446734006958187E-2</v>
          </cell>
          <cell r="AG91">
            <v>-1.3193183442354655E-2</v>
          </cell>
          <cell r="AH91">
            <v>1.4742509624829203E-2</v>
          </cell>
          <cell r="AI91">
            <v>4.7050248671843181E-2</v>
          </cell>
          <cell r="AJ91">
            <v>1.5098354869209851E-2</v>
          </cell>
          <cell r="AK91">
            <v>5.3821581939418883E-3</v>
          </cell>
          <cell r="AL91">
            <v>-6.3620058753404152E-3</v>
          </cell>
          <cell r="AM91">
            <v>1.9390594058773247E-2</v>
          </cell>
          <cell r="AN91">
            <v>-4.2912969327830591E-2</v>
          </cell>
          <cell r="AO91">
            <v>-4.5393991029416089E-2</v>
          </cell>
          <cell r="AP91">
            <v>5.5998818194304646E-3</v>
          </cell>
          <cell r="AQ91">
            <v>6.2077987177061242E-3</v>
          </cell>
          <cell r="AR91">
            <v>-5.6093962807922879E-3</v>
          </cell>
          <cell r="AW91">
            <v>-1.3193183442354655E-2</v>
          </cell>
          <cell r="AX91">
            <v>1.4742509624829203E-2</v>
          </cell>
          <cell r="AY91">
            <v>4.7050248671843181E-2</v>
          </cell>
          <cell r="AZ91">
            <v>1.5098354869209851E-2</v>
          </cell>
          <cell r="BA91">
            <v>5.3821581939418883E-3</v>
          </cell>
          <cell r="BB91">
            <v>-6.3620058753404152E-3</v>
          </cell>
          <cell r="BC91">
            <v>1.9390594058773247E-2</v>
          </cell>
          <cell r="BD91">
            <v>-4.2912969327830591E-2</v>
          </cell>
          <cell r="BE91">
            <v>-4.5393991029416089E-2</v>
          </cell>
          <cell r="BF91">
            <v>5.5998818194304646E-3</v>
          </cell>
          <cell r="BG91">
            <v>6.2077987177061242E-3</v>
          </cell>
          <cell r="BH91">
            <v>-5.6093962807922879E-3</v>
          </cell>
        </row>
        <row r="92">
          <cell r="B92">
            <v>1.8933649506897915E-3</v>
          </cell>
          <cell r="C92">
            <v>5.3216422643174235E-3</v>
          </cell>
          <cell r="D92">
            <v>8.9461493920092644E-2</v>
          </cell>
          <cell r="E92">
            <v>0.13213113850056526</v>
          </cell>
          <cell r="F92">
            <v>3.6828705618514535E-2</v>
          </cell>
          <cell r="G92">
            <v>0.17645058409389619</v>
          </cell>
          <cell r="H92">
            <v>6.5105100136947272E-2</v>
          </cell>
          <cell r="I92">
            <v>0.14819257175945075</v>
          </cell>
          <cell r="J92">
            <v>0.2336559406623101</v>
          </cell>
          <cell r="K92">
            <v>9.9461402009172709E-2</v>
          </cell>
          <cell r="L92">
            <v>8.1524985983584715E-3</v>
          </cell>
          <cell r="M92">
            <v>3.3455574856848741E-3</v>
          </cell>
          <cell r="Q92">
            <v>4.6751276465027088E-2</v>
          </cell>
          <cell r="R92">
            <v>3.0894661541544171E-2</v>
          </cell>
          <cell r="S92">
            <v>0.11314425822892325</v>
          </cell>
          <cell r="T92">
            <v>0.13016712479184733</v>
          </cell>
          <cell r="U92">
            <v>3.3761764565579257E-2</v>
          </cell>
          <cell r="V92">
            <v>0.13354818871296223</v>
          </cell>
          <cell r="W92">
            <v>4.4995787057115121E-2</v>
          </cell>
          <cell r="X92">
            <v>0.11390351999664741</v>
          </cell>
          <cell r="Y92">
            <v>0.19493813977704572</v>
          </cell>
          <cell r="Z92">
            <v>0.14301178942845427</v>
          </cell>
          <cell r="AA92">
            <v>4.3538905058260052E-3</v>
          </cell>
          <cell r="AB92">
            <v>1.0529598929028114E-2</v>
          </cell>
          <cell r="AG92">
            <v>-2.9964871413210935E-2</v>
          </cell>
          <cell r="AH92">
            <v>-2.0715402167553795E-2</v>
          </cell>
          <cell r="AI92">
            <v>-3.2553605222708004E-2</v>
          </cell>
          <cell r="AJ92">
            <v>-1.6776418940954441E-2</v>
          </cell>
          <cell r="AK92">
            <v>6.7654128959878518E-3</v>
          </cell>
          <cell r="AL92">
            <v>4.1559909329815042E-2</v>
          </cell>
          <cell r="AM92">
            <v>1.4882623025207348E-2</v>
          </cell>
          <cell r="AN92">
            <v>2.6658846575218997E-2</v>
          </cell>
          <cell r="AO92">
            <v>3.7738118219035721E-2</v>
          </cell>
          <cell r="AP92">
            <v>-2.9431681377083643E-2</v>
          </cell>
          <cell r="AQ92">
            <v>4.1608101576278353E-3</v>
          </cell>
          <cell r="AR92">
            <v>-2.3237410813819149E-3</v>
          </cell>
          <cell r="AW92">
            <v>-2.9964871413210935E-2</v>
          </cell>
          <cell r="AX92">
            <v>-2.0715402167553795E-2</v>
          </cell>
          <cell r="AY92">
            <v>-3.2553605222708004E-2</v>
          </cell>
          <cell r="AZ92">
            <v>-1.6776418940954441E-2</v>
          </cell>
          <cell r="BA92">
            <v>6.7654128959878518E-3</v>
          </cell>
          <cell r="BB92">
            <v>4.1559909329815042E-2</v>
          </cell>
          <cell r="BC92">
            <v>1.4882623025207348E-2</v>
          </cell>
          <cell r="BD92">
            <v>2.6658846575218997E-2</v>
          </cell>
          <cell r="BE92">
            <v>3.7738118219035721E-2</v>
          </cell>
          <cell r="BF92">
            <v>-2.9431681377083643E-2</v>
          </cell>
          <cell r="BG92">
            <v>4.1608101576278353E-3</v>
          </cell>
          <cell r="BH92">
            <v>-2.3237410813819149E-3</v>
          </cell>
        </row>
        <row r="93">
          <cell r="B93">
            <v>0.161</v>
          </cell>
          <cell r="C93">
            <v>1.4999999999999999E-2</v>
          </cell>
          <cell r="D93">
            <v>1.6E-2</v>
          </cell>
          <cell r="E93">
            <v>0.184</v>
          </cell>
          <cell r="F93">
            <v>0.182</v>
          </cell>
          <cell r="G93">
            <v>0.05</v>
          </cell>
          <cell r="H93">
            <v>0.10199999999999999</v>
          </cell>
          <cell r="I93">
            <v>4.7E-2</v>
          </cell>
          <cell r="J93">
            <v>0.09</v>
          </cell>
          <cell r="K93">
            <v>9.8000000000000004E-2</v>
          </cell>
          <cell r="L93">
            <v>4.8000000000000001E-2</v>
          </cell>
          <cell r="M93">
            <v>7.0000000000000001E-3</v>
          </cell>
          <cell r="Q93">
            <v>0.22437523672518572</v>
          </cell>
          <cell r="R93">
            <v>5.4538540025110382E-2</v>
          </cell>
          <cell r="S93">
            <v>3.2503477767391944E-2</v>
          </cell>
          <cell r="T93">
            <v>0.10710053741680321</v>
          </cell>
          <cell r="U93">
            <v>0.13286126648510357</v>
          </cell>
          <cell r="V93">
            <v>2.5555215375482911E-2</v>
          </cell>
          <cell r="W93">
            <v>9.6891234189630374E-2</v>
          </cell>
          <cell r="X93">
            <v>3.1291569028333639E-2</v>
          </cell>
          <cell r="Y93">
            <v>7.5672847440201765E-2</v>
          </cell>
          <cell r="Z93">
            <v>0.12403782434488005</v>
          </cell>
          <cell r="AA93">
            <v>8.7044484599392305E-2</v>
          </cell>
          <cell r="AB93">
            <v>8.1277666024842116E-3</v>
          </cell>
          <cell r="AG93">
            <v>-1.5055794156079438E-2</v>
          </cell>
          <cell r="AH93">
            <v>-3.5339745628558808E-2</v>
          </cell>
          <cell r="AI93">
            <v>-1.7342422481415029E-2</v>
          </cell>
          <cell r="AJ93">
            <v>5.6481880896206343E-2</v>
          </cell>
          <cell r="AK93">
            <v>3.5112044623191868E-2</v>
          </cell>
          <cell r="AL93">
            <v>2.5859600948741727E-2</v>
          </cell>
          <cell r="AM93">
            <v>-1.6377008116596065E-3</v>
          </cell>
          <cell r="AN93">
            <v>1.0134885539193679E-2</v>
          </cell>
          <cell r="AO93">
            <v>5.2332646116759751E-3</v>
          </cell>
          <cell r="AP93">
            <v>-3.1934975591749459E-2</v>
          </cell>
          <cell r="AQ93">
            <v>-3.3115994009450117E-2</v>
          </cell>
          <cell r="AR93">
            <v>1.604956059902741E-3</v>
          </cell>
          <cell r="AW93">
            <v>-1.5055794156079438E-2</v>
          </cell>
          <cell r="AX93">
            <v>-3.5339745628558808E-2</v>
          </cell>
          <cell r="AY93">
            <v>-1.7342422481415029E-2</v>
          </cell>
          <cell r="AZ93">
            <v>5.6481880896206343E-2</v>
          </cell>
          <cell r="BA93">
            <v>3.5112044623191868E-2</v>
          </cell>
          <cell r="BB93">
            <v>2.5859600948741727E-2</v>
          </cell>
          <cell r="BC93">
            <v>-1.6377008116596065E-3</v>
          </cell>
          <cell r="BD93">
            <v>1.0134885539193679E-2</v>
          </cell>
          <cell r="BE93">
            <v>5.2332646116759751E-3</v>
          </cell>
          <cell r="BF93">
            <v>-3.1934975591749459E-2</v>
          </cell>
          <cell r="BG93">
            <v>-3.3115994009450117E-2</v>
          </cell>
          <cell r="BH93">
            <v>1.604956059902741E-3</v>
          </cell>
        </row>
        <row r="94">
          <cell r="B94">
            <v>0.20100000000000001</v>
          </cell>
          <cell r="C94">
            <v>0.31</v>
          </cell>
          <cell r="D94">
            <v>8.0000000000000002E-3</v>
          </cell>
          <cell r="E94">
            <v>8.9999999999999993E-3</v>
          </cell>
          <cell r="F94">
            <v>0.124</v>
          </cell>
          <cell r="G94">
            <v>0.10199999999999999</v>
          </cell>
          <cell r="H94">
            <v>2.5999999999999999E-2</v>
          </cell>
          <cell r="I94">
            <v>5.3999999999999999E-2</v>
          </cell>
          <cell r="J94">
            <v>0.03</v>
          </cell>
          <cell r="K94">
            <v>5.2999999999999999E-2</v>
          </cell>
          <cell r="L94">
            <v>5.2999999999999999E-2</v>
          </cell>
          <cell r="M94">
            <v>0.03</v>
          </cell>
          <cell r="Q94">
            <v>0.15256156650265468</v>
          </cell>
          <cell r="R94">
            <v>0.26548662257839056</v>
          </cell>
          <cell r="S94">
            <v>5.8046392463227223E-2</v>
          </cell>
          <cell r="T94">
            <v>3.1061771305961643E-2</v>
          </cell>
          <cell r="U94">
            <v>0.10945964031746117</v>
          </cell>
          <cell r="V94">
            <v>0.10014258401388043</v>
          </cell>
          <cell r="W94">
            <v>1.824973336819153E-2</v>
          </cell>
          <cell r="X94">
            <v>6.7245971526184306E-2</v>
          </cell>
          <cell r="Y94">
            <v>2.0394020787077173E-2</v>
          </cell>
          <cell r="Z94">
            <v>4.7577655435288184E-2</v>
          </cell>
          <cell r="AA94">
            <v>7.4883201911025543E-2</v>
          </cell>
          <cell r="AB94">
            <v>5.4890839790657536E-2</v>
          </cell>
          <cell r="AG94">
            <v>7.9456261445070772E-2</v>
          </cell>
          <cell r="AH94">
            <v>4.4819498676028968E-2</v>
          </cell>
          <cell r="AI94">
            <v>-5.3314660283866319E-2</v>
          </cell>
          <cell r="AJ94">
            <v>-2.4062410708432673E-2</v>
          </cell>
          <cell r="AK94">
            <v>5.5134114355870484E-3</v>
          </cell>
          <cell r="AL94">
            <v>-8.9008469984612898E-3</v>
          </cell>
          <cell r="AM94">
            <v>8.8360449278648868E-3</v>
          </cell>
          <cell r="AN94">
            <v>-1.7341701807331682E-2</v>
          </cell>
          <cell r="AO94">
            <v>6.1320831373312158E-3</v>
          </cell>
          <cell r="AP94">
            <v>5.6387653360329137E-4</v>
          </cell>
          <cell r="AQ94">
            <v>-2.3478276109044537E-2</v>
          </cell>
          <cell r="AR94">
            <v>-1.8223280248349773E-2</v>
          </cell>
          <cell r="AW94">
            <v>7.9456261445070772E-2</v>
          </cell>
          <cell r="AX94">
            <v>4.4819498676028968E-2</v>
          </cell>
          <cell r="AY94">
            <v>-5.3314660283866319E-2</v>
          </cell>
          <cell r="AZ94">
            <v>-2.4062410708432673E-2</v>
          </cell>
          <cell r="BA94">
            <v>5.5134114355870484E-3</v>
          </cell>
          <cell r="BB94">
            <v>-8.9008469984612898E-3</v>
          </cell>
          <cell r="BC94">
            <v>8.8360449278648868E-3</v>
          </cell>
          <cell r="BD94">
            <v>-1.7341701807331682E-2</v>
          </cell>
          <cell r="BE94">
            <v>6.1320831373312158E-3</v>
          </cell>
          <cell r="BF94">
            <v>5.6387653360329137E-4</v>
          </cell>
          <cell r="BG94">
            <v>-2.3478276109044537E-2</v>
          </cell>
          <cell r="BH94">
            <v>-1.8223280248349773E-2</v>
          </cell>
        </row>
        <row r="95">
          <cell r="B95">
            <v>0.01</v>
          </cell>
          <cell r="C95">
            <v>0.10199999999999999</v>
          </cell>
          <cell r="D95">
            <v>0.316</v>
          </cell>
          <cell r="E95">
            <v>1.7999999999999999E-2</v>
          </cell>
          <cell r="F95">
            <v>1.2E-2</v>
          </cell>
          <cell r="G95">
            <v>0.13200000000000001</v>
          </cell>
          <cell r="H95">
            <v>0.14000000000000001</v>
          </cell>
          <cell r="I95">
            <v>3.3000000000000002E-2</v>
          </cell>
          <cell r="J95">
            <v>6.7000000000000004E-2</v>
          </cell>
          <cell r="K95">
            <v>3.1E-2</v>
          </cell>
          <cell r="L95">
            <v>3.4000000000000002E-2</v>
          </cell>
          <cell r="M95">
            <v>0.10400000000000001</v>
          </cell>
          <cell r="Q95">
            <v>4.7939446884434432E-2</v>
          </cell>
          <cell r="R95">
            <v>0.17962435655981926</v>
          </cell>
          <cell r="S95">
            <v>0.33801114918801539</v>
          </cell>
          <cell r="T95">
            <v>6.8085226178063035E-2</v>
          </cell>
          <cell r="U95">
            <v>3.3134907720403915E-2</v>
          </cell>
          <cell r="V95">
            <v>8.3486282151108024E-2</v>
          </cell>
          <cell r="W95">
            <v>7.2515371975665974E-2</v>
          </cell>
          <cell r="X95">
            <v>1.2935114069792553E-2</v>
          </cell>
          <cell r="Y95">
            <v>4.5953290170276682E-2</v>
          </cell>
          <cell r="Z95">
            <v>1.2951406103748156E-2</v>
          </cell>
          <cell r="AA95">
            <v>2.9703962723081061E-2</v>
          </cell>
          <cell r="AB95">
            <v>7.5659486275591381E-2</v>
          </cell>
          <cell r="AG95">
            <v>-4.3423767255623906E-2</v>
          </cell>
          <cell r="AH95">
            <v>-7.2802876666491531E-2</v>
          </cell>
          <cell r="AI95">
            <v>1.0305402006558162E-2</v>
          </cell>
          <cell r="AJ95">
            <v>-4.1645152879120462E-2</v>
          </cell>
          <cell r="AK95">
            <v>-2.2120308290785384E-2</v>
          </cell>
          <cell r="AL95">
            <v>3.498429081925232E-2</v>
          </cell>
          <cell r="AM95">
            <v>5.3895806542854668E-2</v>
          </cell>
          <cell r="AN95">
            <v>2.0154257451254518E-2</v>
          </cell>
          <cell r="AO95">
            <v>1.5632326457836555E-2</v>
          </cell>
          <cell r="AP95">
            <v>1.4963114647443973E-2</v>
          </cell>
          <cell r="AQ95">
            <v>-8.6668327356299868E-5</v>
          </cell>
          <cell r="AR95">
            <v>2.9143575494177495E-2</v>
          </cell>
          <cell r="AW95">
            <v>-4.3423767255623906E-2</v>
          </cell>
          <cell r="AX95">
            <v>-7.2802876666491531E-2</v>
          </cell>
          <cell r="AY95">
            <v>1.0305402006558162E-2</v>
          </cell>
          <cell r="AZ95">
            <v>-4.1645152879120462E-2</v>
          </cell>
          <cell r="BA95">
            <v>-2.2120308290785384E-2</v>
          </cell>
          <cell r="BB95">
            <v>3.498429081925232E-2</v>
          </cell>
          <cell r="BC95">
            <v>5.3895806542854668E-2</v>
          </cell>
          <cell r="BD95">
            <v>2.0154257451254518E-2</v>
          </cell>
          <cell r="BE95">
            <v>1.5632326457836555E-2</v>
          </cell>
          <cell r="BF95">
            <v>1.4963114647443973E-2</v>
          </cell>
          <cell r="BG95">
            <v>-8.6668327356299868E-5</v>
          </cell>
          <cell r="BH95">
            <v>2.9143575494177495E-2</v>
          </cell>
        </row>
        <row r="96">
          <cell r="B96">
            <v>6.0000000000000001E-3</v>
          </cell>
          <cell r="C96">
            <v>2.5000000000000001E-2</v>
          </cell>
          <cell r="D96">
            <v>0.158</v>
          </cell>
          <cell r="E96">
            <v>0.33700000000000002</v>
          </cell>
          <cell r="F96">
            <v>2.9000000000000001E-2</v>
          </cell>
          <cell r="G96">
            <v>0.03</v>
          </cell>
          <cell r="H96">
            <v>0.11600000000000001</v>
          </cell>
          <cell r="I96">
            <v>0.107</v>
          </cell>
          <cell r="J96">
            <v>3.5000000000000003E-2</v>
          </cell>
          <cell r="K96">
            <v>3.4000000000000002E-2</v>
          </cell>
          <cell r="L96">
            <v>2.5000000000000001E-2</v>
          </cell>
          <cell r="M96">
            <v>9.8000000000000004E-2</v>
          </cell>
          <cell r="Q96">
            <v>5.1530064151903289E-2</v>
          </cell>
          <cell r="R96">
            <v>8.379050520725341E-2</v>
          </cell>
          <cell r="S96">
            <v>0.23431740637411258</v>
          </cell>
          <cell r="T96">
            <v>0.3355676557620299</v>
          </cell>
          <cell r="U96">
            <v>6.0536614352040163E-2</v>
          </cell>
          <cell r="V96">
            <v>2.4993473301878663E-2</v>
          </cell>
          <cell r="W96">
            <v>5.8900813953960893E-2</v>
          </cell>
          <cell r="X96">
            <v>4.8994967474327314E-2</v>
          </cell>
          <cell r="Y96">
            <v>8.0203089971249749E-3</v>
          </cell>
          <cell r="Z96">
            <v>2.8541124318121759E-2</v>
          </cell>
          <cell r="AA96">
            <v>7.4074372354606954E-3</v>
          </cell>
          <cell r="AB96">
            <v>5.7399628871786408E-2</v>
          </cell>
          <cell r="AG96">
            <v>-5.8554322689716394E-2</v>
          </cell>
          <cell r="AH96">
            <v>-5.1628206565469063E-2</v>
          </cell>
          <cell r="AI96">
            <v>-5.7668785306391024E-2</v>
          </cell>
          <cell r="AJ96">
            <v>1.7244260545340229E-2</v>
          </cell>
          <cell r="AK96">
            <v>-3.5618013216684077E-2</v>
          </cell>
          <cell r="AL96">
            <v>4.100562090501015E-3</v>
          </cell>
          <cell r="AM96">
            <v>4.6979014649398618E-2</v>
          </cell>
          <cell r="AN96">
            <v>4.8560532062001983E-2</v>
          </cell>
          <cell r="AO96">
            <v>2.7063803683653374E-2</v>
          </cell>
          <cell r="AP96">
            <v>3.3797345748166827E-3</v>
          </cell>
          <cell r="AQ96">
            <v>1.5869317445594933E-2</v>
          </cell>
          <cell r="AR96">
            <v>4.0272102726953675E-2</v>
          </cell>
          <cell r="AW96">
            <v>-5.8554322689716394E-2</v>
          </cell>
          <cell r="AX96">
            <v>-5.1628206565469063E-2</v>
          </cell>
          <cell r="AY96">
            <v>-5.7668785306391024E-2</v>
          </cell>
          <cell r="AZ96">
            <v>1.7244260545340229E-2</v>
          </cell>
          <cell r="BA96">
            <v>-3.5618013216684077E-2</v>
          </cell>
          <cell r="BB96">
            <v>4.100562090501015E-3</v>
          </cell>
          <cell r="BC96">
            <v>4.6979014649398618E-2</v>
          </cell>
          <cell r="BD96">
            <v>4.8560532062001983E-2</v>
          </cell>
          <cell r="BE96">
            <v>2.7063803683653374E-2</v>
          </cell>
          <cell r="BF96">
            <v>3.3797345748166827E-3</v>
          </cell>
          <cell r="BG96">
            <v>1.5869317445594933E-2</v>
          </cell>
          <cell r="BH96">
            <v>4.0272102726953675E-2</v>
          </cell>
        </row>
        <row r="97">
          <cell r="B97">
            <v>1.2E-2</v>
          </cell>
          <cell r="C97">
            <v>5.5E-2</v>
          </cell>
          <cell r="D97">
            <v>9.1999999999999998E-2</v>
          </cell>
          <cell r="E97">
            <v>0.26</v>
          </cell>
          <cell r="F97">
            <v>0.30099999999999999</v>
          </cell>
          <cell r="G97">
            <v>5.2999999999999999E-2</v>
          </cell>
          <cell r="H97">
            <v>2.1000000000000001E-2</v>
          </cell>
          <cell r="I97">
            <v>5.2000000000000005E-2</v>
          </cell>
          <cell r="J97">
            <v>5.2000000000000005E-2</v>
          </cell>
          <cell r="K97">
            <v>2.7999999999999997E-2</v>
          </cell>
          <cell r="L97">
            <v>1.9E-2</v>
          </cell>
          <cell r="M97">
            <v>5.21E-2</v>
          </cell>
          <cell r="Q97">
            <v>5.7892579693640575E-2</v>
          </cell>
          <cell r="R97">
            <v>9.5978620849801716E-2</v>
          </cell>
          <cell r="S97">
            <v>0.11542777207362796</v>
          </cell>
          <cell r="T97">
            <v>0.24192852764781217</v>
          </cell>
          <cell r="U97">
            <v>0.30480291923125313</v>
          </cell>
          <cell r="V97">
            <v>4.6762325453863919E-2</v>
          </cell>
          <cell r="W97">
            <v>1.6066218633008601E-2</v>
          </cell>
          <cell r="X97">
            <v>3.690249242728421E-2</v>
          </cell>
          <cell r="Y97">
            <v>2.9981055766437587E-2</v>
          </cell>
          <cell r="Z97">
            <v>3.9388184173977416E-3</v>
          </cell>
          <cell r="AA97">
            <v>1.6599280562845764E-2</v>
          </cell>
          <cell r="AB97">
            <v>3.3719389243026435E-2</v>
          </cell>
          <cell r="AG97">
            <v>-5.4641448109713456E-2</v>
          </cell>
          <cell r="AH97">
            <v>-3.342765884643218E-2</v>
          </cell>
          <cell r="AI97">
            <v>-2.401646781695535E-3</v>
          </cell>
          <cell r="AJ97">
            <v>3.7055369229762491E-2</v>
          </cell>
          <cell r="AK97">
            <v>-3.4450056623163972E-2</v>
          </cell>
          <cell r="AL97">
            <v>5.6004561061121505E-3</v>
          </cell>
          <cell r="AM97">
            <v>5.0833304558704565E-3</v>
          </cell>
          <cell r="AN97">
            <v>1.0264203388470332E-2</v>
          </cell>
          <cell r="AO97">
            <v>1.7743582592410954E-2</v>
          </cell>
          <cell r="AP97">
            <v>2.4337856018298517E-2</v>
          </cell>
          <cell r="AQ97">
            <v>1.8245448485369534E-3</v>
          </cell>
          <cell r="AR97">
            <v>2.0111467721543368E-2</v>
          </cell>
          <cell r="AW97">
            <v>-5.4641448109713456E-2</v>
          </cell>
          <cell r="AX97">
            <v>-3.342765884643218E-2</v>
          </cell>
          <cell r="AY97">
            <v>-2.401646781695535E-3</v>
          </cell>
          <cell r="AZ97">
            <v>3.7055369229762491E-2</v>
          </cell>
          <cell r="BA97">
            <v>-3.4450056623163972E-2</v>
          </cell>
          <cell r="BB97">
            <v>5.6004561061121505E-3</v>
          </cell>
          <cell r="BC97">
            <v>5.0833304558704565E-3</v>
          </cell>
          <cell r="BD97">
            <v>1.0264203388470332E-2</v>
          </cell>
          <cell r="BE97">
            <v>1.7743582592410954E-2</v>
          </cell>
          <cell r="BF97">
            <v>2.4337856018298517E-2</v>
          </cell>
          <cell r="BG97">
            <v>1.8245448485369534E-3</v>
          </cell>
          <cell r="BH97">
            <v>2.0111467721543368E-2</v>
          </cell>
        </row>
        <row r="98">
          <cell r="Q98">
            <v>4.7474183600249048E-2</v>
          </cell>
          <cell r="R98">
            <v>0.11073480214104341</v>
          </cell>
          <cell r="S98">
            <v>0.13602853506541757</v>
          </cell>
          <cell r="T98">
            <v>0.12351710827983606</v>
          </cell>
          <cell r="U98">
            <v>0.22962982415761055</v>
          </cell>
          <cell r="V98">
            <v>0.24336824039731</v>
          </cell>
          <cell r="W98">
            <v>3.5062262262986539E-2</v>
          </cell>
          <cell r="X98">
            <v>1.027112136581935E-2</v>
          </cell>
          <cell r="Y98">
            <v>2.2494926228896206E-2</v>
          </cell>
          <cell r="Z98">
            <v>1.6574146770065169E-2</v>
          </cell>
          <cell r="AA98">
            <v>5.077573276004783E-9</v>
          </cell>
          <cell r="AB98">
            <v>2.48448446531928E-2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</row>
        <row r="99">
          <cell r="B99">
            <v>0.12509999999999999</v>
          </cell>
          <cell r="C99">
            <v>7.0000000000000007E-2</v>
          </cell>
          <cell r="D99">
            <v>0.14899999999999999</v>
          </cell>
          <cell r="E99">
            <v>0.12</v>
          </cell>
          <cell r="F99">
            <v>9.0999999999999998E-2</v>
          </cell>
          <cell r="G99">
            <v>0.17100000000000001</v>
          </cell>
          <cell r="H99">
            <v>0.13800000000000001</v>
          </cell>
          <cell r="I99">
            <v>5.1999999999999998E-2</v>
          </cell>
          <cell r="J99">
            <v>1.0999999999999999E-2</v>
          </cell>
          <cell r="K99">
            <v>2.4E-2</v>
          </cell>
          <cell r="L99">
            <v>1.4E-2</v>
          </cell>
          <cell r="M99">
            <v>3.3000000000000002E-2</v>
          </cell>
          <cell r="Q99">
            <v>8.7578821038412927E-2</v>
          </cell>
          <cell r="R99">
            <v>8.8243619512361607E-2</v>
          </cell>
          <cell r="S99">
            <v>0.15284782966835816</v>
          </cell>
          <cell r="T99">
            <v>0.14200307204763518</v>
          </cell>
          <cell r="U99">
            <v>0.1144878053364493</v>
          </cell>
          <cell r="V99">
            <v>0.17944552292864108</v>
          </cell>
          <cell r="W99">
            <v>0.17702385319045144</v>
          </cell>
          <cell r="X99">
            <v>2.1950096616074805E-2</v>
          </cell>
          <cell r="Y99">
            <v>4.8412661606288482E-3</v>
          </cell>
          <cell r="Z99">
            <v>1.2807059606545945E-2</v>
          </cell>
          <cell r="AA99">
            <v>7.6995631358520141E-3</v>
          </cell>
          <cell r="AB99">
            <v>1.1071490758588825E-2</v>
          </cell>
          <cell r="AG99">
            <v>1.971744711347817E-2</v>
          </cell>
          <cell r="AH99">
            <v>-1.3111968283108066E-2</v>
          </cell>
          <cell r="AI99">
            <v>1.8530427630553459E-2</v>
          </cell>
          <cell r="AJ99">
            <v>-5.0482832032665292E-3</v>
          </cell>
          <cell r="AK99">
            <v>-2.3821050549450565E-2</v>
          </cell>
          <cell r="AL99">
            <v>-2.2484620589926813E-2</v>
          </cell>
          <cell r="AM99">
            <v>-5.0502227464880395E-2</v>
          </cell>
          <cell r="AN99">
            <v>3.0555436564572287E-2</v>
          </cell>
          <cell r="AO99">
            <v>6.341959635783434E-3</v>
          </cell>
          <cell r="AP99">
            <v>9.7048003331408009E-3</v>
          </cell>
          <cell r="AQ99">
            <v>4.9893508338103559E-3</v>
          </cell>
          <cell r="AR99">
            <v>2.3228727979293859E-2</v>
          </cell>
          <cell r="AW99">
            <v>1.971744711347817E-2</v>
          </cell>
          <cell r="AX99">
            <v>-1.3111968283108066E-2</v>
          </cell>
          <cell r="AY99">
            <v>1.8530427630553459E-2</v>
          </cell>
          <cell r="AZ99">
            <v>-5.0482832032665292E-3</v>
          </cell>
          <cell r="BA99">
            <v>-2.3821050549450565E-2</v>
          </cell>
          <cell r="BB99">
            <v>-2.2484620589926813E-2</v>
          </cell>
          <cell r="BC99">
            <v>-5.0502227464880395E-2</v>
          </cell>
          <cell r="BD99">
            <v>3.0555436564572287E-2</v>
          </cell>
          <cell r="BE99">
            <v>6.341959635783434E-3</v>
          </cell>
          <cell r="BF99">
            <v>9.7048003331408009E-3</v>
          </cell>
          <cell r="BG99">
            <v>4.9893508338103559E-3</v>
          </cell>
          <cell r="BH99">
            <v>2.3228727979293859E-2</v>
          </cell>
        </row>
        <row r="100">
          <cell r="Q100">
            <v>1.9541760958329452E-2</v>
          </cell>
          <cell r="R100">
            <v>0.17049300375764151</v>
          </cell>
          <cell r="S100">
            <v>0.12694880645615808</v>
          </cell>
          <cell r="T100">
            <v>0.16510037880734865</v>
          </cell>
          <cell r="U100">
            <v>0.13525235067579325</v>
          </cell>
          <cell r="V100">
            <v>9.234957806726686E-2</v>
          </cell>
          <cell r="W100">
            <v>0.13400794478732869</v>
          </cell>
          <cell r="X100">
            <v>0.12664057036696644</v>
          </cell>
          <cell r="Y100">
            <v>1.195316832878438E-2</v>
          </cell>
          <cell r="Z100">
            <v>2.1975886735075118E-3</v>
          </cell>
          <cell r="AA100">
            <v>7.0002667897441093E-3</v>
          </cell>
          <cell r="AB100">
            <v>8.5145823311311448E-3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</row>
        <row r="101">
          <cell r="B101">
            <v>5.0000000000000001E-3</v>
          </cell>
          <cell r="C101">
            <v>1.7000000000000001E-2</v>
          </cell>
          <cell r="D101">
            <v>0.182</v>
          </cell>
          <cell r="E101">
            <v>0.109</v>
          </cell>
          <cell r="F101">
            <v>0.129</v>
          </cell>
          <cell r="G101">
            <v>0.105</v>
          </cell>
          <cell r="H101">
            <v>7.0999999999999994E-2</v>
          </cell>
          <cell r="I101">
            <v>0.14499999999999999</v>
          </cell>
          <cell r="J101">
            <v>0.114</v>
          </cell>
          <cell r="K101">
            <v>7.4999999999999997E-2</v>
          </cell>
          <cell r="L101">
            <v>1.4999999999999999E-2</v>
          </cell>
          <cell r="M101">
            <v>3.1E-2</v>
          </cell>
          <cell r="Q101">
            <v>2.8597163122649451E-2</v>
          </cell>
          <cell r="R101">
            <v>3.907380578044866E-2</v>
          </cell>
          <cell r="S101">
            <v>0.25244600276478452</v>
          </cell>
          <cell r="T101">
            <v>0.14122051466158161</v>
          </cell>
          <cell r="U101">
            <v>0.15967255017877785</v>
          </cell>
          <cell r="V101">
            <v>0.11036974718205093</v>
          </cell>
          <cell r="W101">
            <v>7.0418610250527952E-2</v>
          </cell>
          <cell r="X101">
            <v>9.8836748041520428E-2</v>
          </cell>
          <cell r="Y101">
            <v>8.7035277991296373E-2</v>
          </cell>
          <cell r="Z101">
            <v>4.0872497801488702E-3</v>
          </cell>
          <cell r="AA101">
            <v>5.9884226858026164E-9</v>
          </cell>
          <cell r="AB101">
            <v>8.2423242577908257E-3</v>
          </cell>
          <cell r="AG101">
            <v>-2.3679625664167397E-2</v>
          </cell>
          <cell r="AH101">
            <v>-2.4643911475733679E-2</v>
          </cell>
          <cell r="AI101">
            <v>-4.9723781450134147E-2</v>
          </cell>
          <cell r="AJ101">
            <v>-2.1778074186268634E-2</v>
          </cell>
          <cell r="AK101">
            <v>-4.3184646601981597E-2</v>
          </cell>
          <cell r="AL101">
            <v>-1.1912483023467021E-2</v>
          </cell>
          <cell r="AM101">
            <v>1.2298321184561756E-3</v>
          </cell>
          <cell r="AN101">
            <v>3.980095014432547E-2</v>
          </cell>
          <cell r="AO101">
            <v>2.3236048395455761E-2</v>
          </cell>
          <cell r="AP101">
            <v>7.1044554307946275E-2</v>
          </cell>
          <cell r="AQ101">
            <v>1.4999999520690862E-2</v>
          </cell>
          <cell r="AR101">
            <v>2.2611137914877961E-2</v>
          </cell>
          <cell r="AW101">
            <v>-2.3679625664167397E-2</v>
          </cell>
          <cell r="AX101">
            <v>-2.4643911475733679E-2</v>
          </cell>
          <cell r="AY101">
            <v>-4.9723781450134147E-2</v>
          </cell>
          <cell r="AZ101">
            <v>-2.1778074186268634E-2</v>
          </cell>
          <cell r="BA101">
            <v>-4.3184646601981597E-2</v>
          </cell>
          <cell r="BB101">
            <v>-1.1912483023467021E-2</v>
          </cell>
          <cell r="BC101">
            <v>1.2298321184561756E-3</v>
          </cell>
          <cell r="BD101">
            <v>3.980095014432547E-2</v>
          </cell>
          <cell r="BE101">
            <v>2.3236048395455761E-2</v>
          </cell>
          <cell r="BF101">
            <v>7.1044554307946275E-2</v>
          </cell>
          <cell r="BG101">
            <v>1.4999999520690862E-2</v>
          </cell>
          <cell r="BH101">
            <v>2.2611137914877961E-2</v>
          </cell>
        </row>
        <row r="102">
          <cell r="Q102">
            <v>0.1434258418040803</v>
          </cell>
          <cell r="R102">
            <v>5.2913266842141767E-2</v>
          </cell>
          <cell r="S102">
            <v>5.3493765446625006E-2</v>
          </cell>
          <cell r="T102">
            <v>0.25941660442331155</v>
          </cell>
          <cell r="U102">
            <v>0.1278109217518526</v>
          </cell>
          <cell r="V102">
            <v>0.12049812607909319</v>
          </cell>
          <cell r="W102">
            <v>7.8141391253773826E-2</v>
          </cell>
          <cell r="X102">
            <v>4.6847465607013576E-2</v>
          </cell>
          <cell r="Y102">
            <v>6.2317554659333162E-2</v>
          </cell>
          <cell r="Z102">
            <v>5.1801079314527876E-2</v>
          </cell>
          <cell r="AA102">
            <v>1.2298578235673687E-8</v>
          </cell>
          <cell r="AB102">
            <v>3.3339705196689514E-3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</row>
        <row r="103">
          <cell r="B103">
            <v>0.105</v>
          </cell>
          <cell r="C103">
            <v>0.33600000000000002</v>
          </cell>
          <cell r="D103">
            <v>6.2E-2</v>
          </cell>
          <cell r="E103">
            <v>3.5999999999999997E-2</v>
          </cell>
          <cell r="F103">
            <v>0.22500000000000001</v>
          </cell>
          <cell r="G103">
            <v>5.8999999999999997E-2</v>
          </cell>
          <cell r="H103">
            <v>5.8999999999999997E-2</v>
          </cell>
          <cell r="I103">
            <v>3.9E-2</v>
          </cell>
          <cell r="J103">
            <v>4.1000000000000002E-2</v>
          </cell>
          <cell r="K103">
            <v>2.4E-2</v>
          </cell>
          <cell r="L103">
            <v>1.2E-2</v>
          </cell>
          <cell r="M103">
            <v>3.0000000000000001E-3</v>
          </cell>
          <cell r="Q103">
            <v>0.19314081366947439</v>
          </cell>
          <cell r="R103">
            <v>0.22585080074945879</v>
          </cell>
          <cell r="S103">
            <v>6.1599914220274651E-2</v>
          </cell>
          <cell r="T103">
            <v>4.6656475402507322E-2</v>
          </cell>
          <cell r="U103">
            <v>0.19670513614690291</v>
          </cell>
          <cell r="V103">
            <v>8.011646430126744E-2</v>
          </cell>
          <cell r="W103">
            <v>7.1177371016526297E-2</v>
          </cell>
          <cell r="X103">
            <v>4.4656504504316526E-2</v>
          </cell>
          <cell r="Y103">
            <v>2.2754107075805354E-2</v>
          </cell>
          <cell r="Z103">
            <v>3.2296962105070937E-2</v>
          </cell>
          <cell r="AA103">
            <v>2.504544320913598E-2</v>
          </cell>
          <cell r="AB103">
            <v>7.5992593449126042E-9</v>
          </cell>
          <cell r="AG103">
            <v>-8.8751527924399776E-2</v>
          </cell>
          <cell r="AH103">
            <v>9.8651332987241935E-2</v>
          </cell>
          <cell r="AI103">
            <v>1.1201580216150496E-2</v>
          </cell>
          <cell r="AJ103">
            <v>-1.1547947394960831E-2</v>
          </cell>
          <cell r="AK103">
            <v>7.4794937993467592E-3</v>
          </cell>
          <cell r="AL103">
            <v>-2.3817468497208338E-2</v>
          </cell>
          <cell r="AM103">
            <v>-5.6152411524951623E-3</v>
          </cell>
          <cell r="AN103">
            <v>1.8202888886595173E-3</v>
          </cell>
          <cell r="AO103">
            <v>2.3349918757218608E-2</v>
          </cell>
          <cell r="AP103">
            <v>-3.0072475458457829E-3</v>
          </cell>
          <cell r="AQ103">
            <v>-1.1763180482712366E-2</v>
          </cell>
          <cell r="AR103">
            <v>2.9999983490048717E-3</v>
          </cell>
          <cell r="AW103">
            <v>-8.8751527924399776E-2</v>
          </cell>
          <cell r="AX103">
            <v>9.8651332987241935E-2</v>
          </cell>
          <cell r="AY103">
            <v>1.1201580216150496E-2</v>
          </cell>
          <cell r="AZ103">
            <v>-1.1547947394960831E-2</v>
          </cell>
          <cell r="BA103">
            <v>7.4794937993467592E-3</v>
          </cell>
          <cell r="BB103">
            <v>-2.3817468497208338E-2</v>
          </cell>
          <cell r="BC103">
            <v>-5.6152411524951623E-3</v>
          </cell>
          <cell r="BD103">
            <v>1.8202888886595173E-3</v>
          </cell>
          <cell r="BE103">
            <v>2.3349918757218608E-2</v>
          </cell>
          <cell r="BF103">
            <v>-3.0072475458457829E-3</v>
          </cell>
          <cell r="BG103">
            <v>-1.1763180482712366E-2</v>
          </cell>
          <cell r="BH103">
            <v>2.9999983490048717E-3</v>
          </cell>
        </row>
        <row r="104">
          <cell r="Q104">
            <v>4.9741976308543753E-2</v>
          </cell>
          <cell r="R104">
            <v>0.31429978823275329</v>
          </cell>
          <cell r="S104">
            <v>0.27158646091496258</v>
          </cell>
          <cell r="T104">
            <v>5.5551668749074273E-2</v>
          </cell>
          <cell r="U104">
            <v>3.6086911646187041E-2</v>
          </cell>
          <cell r="V104">
            <v>0.11953352388144071</v>
          </cell>
          <cell r="W104">
            <v>4.8240515309914321E-2</v>
          </cell>
          <cell r="X104">
            <v>3.9882092947766602E-2</v>
          </cell>
          <cell r="Y104">
            <v>2.4521325977851081E-2</v>
          </cell>
          <cell r="Z104">
            <v>1.1218572753392806E-2</v>
          </cell>
          <cell r="AA104">
            <v>1.6840512919671084E-2</v>
          </cell>
          <cell r="AB104">
            <v>1.2496650358442616E-2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</row>
        <row r="105">
          <cell r="Q105">
            <v>6.7519592986258238E-3</v>
          </cell>
          <cell r="R105">
            <v>8.5768246292397779E-2</v>
          </cell>
          <cell r="S105">
            <v>0.40394341848910581</v>
          </cell>
          <cell r="T105">
            <v>0.26452352652529904</v>
          </cell>
          <cell r="U105">
            <v>4.7344150805328881E-2</v>
          </cell>
          <cell r="V105">
            <v>2.4013856203079692E-2</v>
          </cell>
          <cell r="W105">
            <v>7.7596745354636093E-2</v>
          </cell>
          <cell r="X105">
            <v>2.9890874091161024E-2</v>
          </cell>
          <cell r="Y105">
            <v>2.4100262968437775E-2</v>
          </cell>
          <cell r="Z105">
            <v>1.4193293836852798E-2</v>
          </cell>
          <cell r="AA105">
            <v>6.2272768869494101E-3</v>
          </cell>
          <cell r="AB105">
            <v>1.5646389248125843E-2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</row>
        <row r="106">
          <cell r="Q106">
            <v>6.1093555950937446E-3</v>
          </cell>
          <cell r="R106">
            <v>1.3159776033509136E-2</v>
          </cell>
          <cell r="S106">
            <v>0.12436396123944879</v>
          </cell>
          <cell r="T106">
            <v>0.44209014910343419</v>
          </cell>
          <cell r="U106">
            <v>0.25035515950835541</v>
          </cell>
          <cell r="V106">
            <v>3.6598909604181107E-2</v>
          </cell>
          <cell r="W106">
            <v>1.5689527754500408E-2</v>
          </cell>
          <cell r="X106">
            <v>5.4532408202842469E-2</v>
          </cell>
          <cell r="Y106">
            <v>2.0073391433652821E-2</v>
          </cell>
          <cell r="Z106">
            <v>1.552579923460198E-2</v>
          </cell>
          <cell r="AA106">
            <v>8.6335221297235993E-3</v>
          </cell>
          <cell r="AB106">
            <v>1.2868040160656378E-2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1">
          <cell r="P11">
            <v>0.34378259727437821</v>
          </cell>
        </row>
        <row r="12">
          <cell r="P12">
            <v>3.0759764777882457</v>
          </cell>
        </row>
        <row r="13">
          <cell r="P13">
            <v>12.029098251033396</v>
          </cell>
        </row>
        <row r="14">
          <cell r="P14">
            <v>29.813265473872306</v>
          </cell>
        </row>
        <row r="15">
          <cell r="P15">
            <v>47.818126117651467</v>
          </cell>
        </row>
        <row r="16">
          <cell r="P16">
            <v>36.442941414300151</v>
          </cell>
        </row>
        <row r="17">
          <cell r="P17">
            <v>25.974573246100096</v>
          </cell>
        </row>
        <row r="18">
          <cell r="P18">
            <v>12.977983883952097</v>
          </cell>
        </row>
        <row r="19">
          <cell r="P19">
            <v>4.5867975217046233</v>
          </cell>
        </row>
        <row r="20">
          <cell r="P20">
            <v>2.2413908577837343</v>
          </cell>
        </row>
        <row r="21">
          <cell r="P21">
            <v>0.72656946627912633</v>
          </cell>
        </row>
        <row r="22">
          <cell r="P22">
            <v>0.28791320510633039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RunBiomass"/>
      <sheetName val="Gillnet Biomass"/>
      <sheetName val="PurseSeine Biomass"/>
      <sheetName val="AppendixA1(Tot Run)"/>
      <sheetName val="AppendixA2(PS)"/>
      <sheetName val="AppendixA3(GN)"/>
      <sheetName val="Table7"/>
      <sheetName val="Fig8"/>
      <sheetName val="Fig11"/>
    </sheetNames>
    <sheetDataSet>
      <sheetData sheetId="0"/>
      <sheetData sheetId="1">
        <row r="18">
          <cell r="Y18">
            <v>1.3033448261547484</v>
          </cell>
        </row>
        <row r="19">
          <cell r="Y19">
            <v>12.524800692173429</v>
          </cell>
        </row>
        <row r="20">
          <cell r="Y20">
            <v>88.819670920779743</v>
          </cell>
        </row>
        <row r="21">
          <cell r="Y21">
            <v>331.86589916197249</v>
          </cell>
        </row>
        <row r="22">
          <cell r="Y22">
            <v>660.01485760777996</v>
          </cell>
        </row>
        <row r="23">
          <cell r="Y23">
            <v>672.74401675548313</v>
          </cell>
        </row>
        <row r="24">
          <cell r="Y24">
            <v>584.79020060302287</v>
          </cell>
        </row>
        <row r="25">
          <cell r="Y25">
            <v>346.12334983321909</v>
          </cell>
        </row>
        <row r="26">
          <cell r="Y26">
            <v>115.16020710740376</v>
          </cell>
        </row>
        <row r="27">
          <cell r="Y27">
            <v>18.251052685127149</v>
          </cell>
        </row>
        <row r="28">
          <cell r="Y28">
            <v>9.1262305290570236</v>
          </cell>
        </row>
        <row r="29">
          <cell r="Y29">
            <v>6.5181325037606346</v>
          </cell>
        </row>
        <row r="30">
          <cell r="Y30">
            <v>0</v>
          </cell>
        </row>
        <row r="31">
          <cell r="Y31">
            <v>0</v>
          </cell>
        </row>
        <row r="32">
          <cell r="Y32">
            <v>0</v>
          </cell>
        </row>
      </sheetData>
      <sheetData sheetId="2">
        <row r="17">
          <cell r="AS17">
            <v>2.8189226218597721E-2</v>
          </cell>
        </row>
        <row r="18">
          <cell r="AS18">
            <v>2.7546556172919057E-2</v>
          </cell>
        </row>
        <row r="19">
          <cell r="AS19">
            <v>8.890641946288913E-2</v>
          </cell>
        </row>
        <row r="20">
          <cell r="AS20">
            <v>0.1770638602132624</v>
          </cell>
        </row>
        <row r="21">
          <cell r="AS21">
            <v>0.21551746554514309</v>
          </cell>
        </row>
        <row r="22">
          <cell r="AS22">
            <v>0.18598682207665401</v>
          </cell>
        </row>
        <row r="23">
          <cell r="AS23">
            <v>0.15560282669980352</v>
          </cell>
        </row>
        <row r="24">
          <cell r="AS24">
            <v>7.8930905817044747E-2</v>
          </cell>
        </row>
        <row r="25">
          <cell r="AS25">
            <v>2.8895475583182915E-2</v>
          </cell>
        </row>
        <row r="26">
          <cell r="AS26">
            <v>8.4341533171073974E-3</v>
          </cell>
        </row>
        <row r="27">
          <cell r="AS27">
            <v>3.6561656134985257E-3</v>
          </cell>
        </row>
        <row r="28">
          <cell r="AS28">
            <v>1.0593102501464831E-3</v>
          </cell>
        </row>
        <row r="29">
          <cell r="AS29">
            <v>1.7963084566474389E-4</v>
          </cell>
        </row>
        <row r="30">
          <cell r="AS30">
            <v>3.1182184086088042E-5</v>
          </cell>
        </row>
        <row r="31">
          <cell r="AS31">
            <v>0</v>
          </cell>
        </row>
        <row r="32">
          <cell r="AS32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 purse seine gillnet WAA fr"/>
    </sheetNames>
    <sheetDataSet>
      <sheetData sheetId="0">
        <row r="15">
          <cell r="C15">
            <v>192.86585365853699</v>
          </cell>
        </row>
        <row r="16">
          <cell r="C16">
            <v>257.95762711864398</v>
          </cell>
        </row>
        <row r="17">
          <cell r="C17">
            <v>309.50778816199397</v>
          </cell>
        </row>
        <row r="18">
          <cell r="C18">
            <v>340.77932098765399</v>
          </cell>
        </row>
        <row r="19">
          <cell r="C19">
            <v>362.21976744185997</v>
          </cell>
        </row>
        <row r="20">
          <cell r="C20">
            <v>397.19022457067399</v>
          </cell>
        </row>
        <row r="21">
          <cell r="C21">
            <v>409.68235294117602</v>
          </cell>
        </row>
        <row r="22">
          <cell r="C22">
            <v>433.572559366755</v>
          </cell>
        </row>
        <row r="23">
          <cell r="C23">
            <v>457.82068965517198</v>
          </cell>
        </row>
        <row r="24">
          <cell r="C24">
            <v>469.87179487179498</v>
          </cell>
        </row>
        <row r="25">
          <cell r="C25">
            <v>480.41176470588198</v>
          </cell>
        </row>
        <row r="26">
          <cell r="C26">
            <v>529.25</v>
          </cell>
          <cell r="D26">
            <v>4</v>
          </cell>
        </row>
        <row r="27">
          <cell r="C27">
            <v>676</v>
          </cell>
          <cell r="D27">
            <v>2</v>
          </cell>
        </row>
        <row r="28">
          <cell r="C28">
            <v>570</v>
          </cell>
          <cell r="D28">
            <v>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RunBiomass"/>
      <sheetName val="Gillnet Biomass"/>
      <sheetName val="PurseSeine Biomass"/>
      <sheetName val="AppendixA1(Tot Run)"/>
      <sheetName val="AppendixA2(PS)"/>
      <sheetName val="AppendixA3(GN)"/>
      <sheetName val="Table7"/>
      <sheetName val="Fig8"/>
      <sheetName val="Fig11"/>
    </sheetNames>
    <sheetDataSet>
      <sheetData sheetId="0">
        <row r="17">
          <cell r="Y17">
            <v>6.4299971485600238E-2</v>
          </cell>
        </row>
        <row r="18">
          <cell r="Y18">
            <v>2.4807527801539782E-2</v>
          </cell>
        </row>
        <row r="19">
          <cell r="Y19">
            <v>6.6010835471913318E-2</v>
          </cell>
        </row>
        <row r="20">
          <cell r="Y20">
            <v>0.13929284288565727</v>
          </cell>
        </row>
        <row r="21">
          <cell r="Y21">
            <v>0.2023096663815227</v>
          </cell>
        </row>
        <row r="22">
          <cell r="Y22">
            <v>0.17864271457085829</v>
          </cell>
        </row>
        <row r="23">
          <cell r="Y23">
            <v>0.16794981465640149</v>
          </cell>
        </row>
        <row r="24">
          <cell r="Y24">
            <v>9.865982321072142E-2</v>
          </cell>
        </row>
        <row r="25">
          <cell r="Y25">
            <v>4.1203307670373543E-2</v>
          </cell>
        </row>
        <row r="26">
          <cell r="Y26">
            <v>9.9800399201596824E-3</v>
          </cell>
        </row>
        <row r="27">
          <cell r="Y27">
            <v>4.5623039635015687E-3</v>
          </cell>
        </row>
        <row r="28">
          <cell r="Y28">
            <v>1.4257199885942401E-3</v>
          </cell>
        </row>
        <row r="29">
          <cell r="Y29">
            <v>5.7028799543769608E-4</v>
          </cell>
        </row>
        <row r="30">
          <cell r="Y30">
            <v>2.8514399771884804E-4</v>
          </cell>
        </row>
        <row r="31">
          <cell r="Y31">
            <v>0</v>
          </cell>
        </row>
        <row r="32">
          <cell r="Y32">
            <v>0</v>
          </cell>
        </row>
        <row r="59">
          <cell r="Z59">
            <v>90268.599999999991</v>
          </cell>
        </row>
      </sheetData>
      <sheetData sheetId="1">
        <row r="18">
          <cell r="Y18">
            <v>1.3033448261547484</v>
          </cell>
        </row>
      </sheetData>
      <sheetData sheetId="2">
        <row r="17">
          <cell r="AS17">
            <v>2.8189226218597721E-2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omass"/>
      <sheetName val="Harvest"/>
    </sheetNames>
    <sheetDataSet>
      <sheetData sheetId="0" refreshError="1"/>
      <sheetData sheetId="1">
        <row r="16">
          <cell r="T16">
            <v>15786.9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s"/>
      <sheetName val="rankings"/>
      <sheetName val="graphs"/>
      <sheetName val="Sheet3"/>
    </sheetNames>
    <sheetDataSet>
      <sheetData sheetId="0"/>
      <sheetData sheetId="1">
        <row r="2">
          <cell r="S2">
            <v>0.25</v>
          </cell>
        </row>
        <row r="3">
          <cell r="S3">
            <v>0.75</v>
          </cell>
        </row>
        <row r="4">
          <cell r="S4">
            <v>0.25</v>
          </cell>
        </row>
        <row r="5">
          <cell r="S5">
            <v>0.75</v>
          </cell>
        </row>
        <row r="6">
          <cell r="S6">
            <v>0.25</v>
          </cell>
        </row>
        <row r="7">
          <cell r="S7">
            <v>0.25</v>
          </cell>
        </row>
        <row r="8">
          <cell r="S8">
            <v>0.25</v>
          </cell>
        </row>
        <row r="9">
          <cell r="S9">
            <v>0.25</v>
          </cell>
        </row>
        <row r="10">
          <cell r="S10">
            <v>0.25</v>
          </cell>
        </row>
        <row r="11">
          <cell r="S11">
            <v>0.25</v>
          </cell>
        </row>
        <row r="12">
          <cell r="S12">
            <v>0.25</v>
          </cell>
        </row>
        <row r="13">
          <cell r="S13">
            <v>0.25</v>
          </cell>
        </row>
        <row r="14">
          <cell r="S14">
            <v>0.75</v>
          </cell>
        </row>
        <row r="15">
          <cell r="S15">
            <v>0.75</v>
          </cell>
        </row>
        <row r="16">
          <cell r="S16">
            <v>0.75</v>
          </cell>
        </row>
        <row r="17">
          <cell r="M17">
            <v>23550</v>
          </cell>
          <cell r="S17">
            <v>0.25</v>
          </cell>
        </row>
        <row r="18">
          <cell r="M18">
            <v>94051</v>
          </cell>
          <cell r="S18">
            <v>0.25</v>
          </cell>
        </row>
        <row r="19">
          <cell r="S19">
            <v>0.75</v>
          </cell>
        </row>
        <row r="20">
          <cell r="M20">
            <v>9872</v>
          </cell>
          <cell r="S20">
            <v>0.25</v>
          </cell>
        </row>
        <row r="21">
          <cell r="S21">
            <v>0.75</v>
          </cell>
        </row>
        <row r="22">
          <cell r="M22">
            <v>93214</v>
          </cell>
          <cell r="S22">
            <v>0.25</v>
          </cell>
        </row>
        <row r="23">
          <cell r="S23">
            <v>0.5</v>
          </cell>
        </row>
        <row r="24">
          <cell r="M24">
            <v>61377</v>
          </cell>
          <cell r="S24">
            <v>0.25</v>
          </cell>
        </row>
        <row r="25">
          <cell r="M25">
            <v>47074</v>
          </cell>
          <cell r="S25">
            <v>0.25</v>
          </cell>
        </row>
        <row r="26">
          <cell r="M26">
            <v>53625</v>
          </cell>
          <cell r="S26">
            <v>0.25</v>
          </cell>
        </row>
        <row r="27">
          <cell r="S27">
            <v>0.5</v>
          </cell>
        </row>
        <row r="28">
          <cell r="S28">
            <v>0.5</v>
          </cell>
        </row>
        <row r="29">
          <cell r="S29">
            <v>0.5</v>
          </cell>
        </row>
        <row r="30">
          <cell r="S30">
            <v>0.5</v>
          </cell>
        </row>
        <row r="31">
          <cell r="S31">
            <v>0.5</v>
          </cell>
        </row>
        <row r="32">
          <cell r="S32">
            <v>0.5</v>
          </cell>
        </row>
        <row r="33">
          <cell r="M33">
            <v>62333</v>
          </cell>
          <cell r="S33">
            <v>0.25</v>
          </cell>
        </row>
        <row r="34">
          <cell r="S34">
            <v>0.5</v>
          </cell>
        </row>
        <row r="35">
          <cell r="S35">
            <v>0.75</v>
          </cell>
        </row>
        <row r="36">
          <cell r="S36">
            <v>0.75</v>
          </cell>
        </row>
        <row r="37">
          <cell r="S37">
            <v>0.8</v>
          </cell>
        </row>
        <row r="38">
          <cell r="M38">
            <v>144920</v>
          </cell>
          <cell r="S38">
            <v>0.1</v>
          </cell>
        </row>
        <row r="39">
          <cell r="S39">
            <v>0.25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4" sqref="B4"/>
    </sheetView>
  </sheetViews>
  <sheetFormatPr defaultColWidth="8.85546875" defaultRowHeight="15"/>
  <cols>
    <col min="1" max="1" width="32.85546875" style="442" bestFit="1" customWidth="1"/>
    <col min="2" max="2" width="17.28515625" style="442" bestFit="1" customWidth="1"/>
    <col min="3" max="16384" width="8.85546875" style="442"/>
  </cols>
  <sheetData>
    <row r="1" spans="1:4" ht="15.75">
      <c r="A1" s="731" t="s">
        <v>126</v>
      </c>
      <c r="B1" s="731"/>
      <c r="C1" s="731"/>
      <c r="D1" s="731"/>
    </row>
    <row r="2" spans="1:4" ht="15.75">
      <c r="A2" s="445" t="s">
        <v>122</v>
      </c>
      <c r="B2" s="429"/>
      <c r="C2" s="429"/>
      <c r="D2" s="429"/>
    </row>
    <row r="3" spans="1:4" ht="15.75">
      <c r="A3" s="446" t="s">
        <v>121</v>
      </c>
      <c r="B3" s="447" t="s">
        <v>107</v>
      </c>
      <c r="C3" s="429"/>
      <c r="D3" s="429"/>
    </row>
    <row r="4" spans="1:4" ht="15.75">
      <c r="A4" s="429" t="s">
        <v>108</v>
      </c>
      <c r="B4" s="443">
        <f>ASA!AD187</f>
        <v>152507.86677471446</v>
      </c>
      <c r="C4" s="429"/>
      <c r="D4" s="429"/>
    </row>
    <row r="5" spans="1:4" ht="15.75">
      <c r="A5" s="429"/>
      <c r="B5" s="429"/>
      <c r="C5" s="429"/>
      <c r="D5" s="429"/>
    </row>
    <row r="6" spans="1:4" ht="15.75">
      <c r="A6" s="429" t="s">
        <v>109</v>
      </c>
      <c r="B6" s="430">
        <f>B4*0.2</f>
        <v>30501.573354942895</v>
      </c>
      <c r="C6" s="429"/>
      <c r="D6" s="429"/>
    </row>
    <row r="7" spans="1:4" ht="15.75">
      <c r="A7" s="429"/>
      <c r="B7" s="429"/>
      <c r="C7" s="429"/>
      <c r="D7" s="429"/>
    </row>
    <row r="8" spans="1:4" ht="15.75">
      <c r="A8" s="429" t="s">
        <v>110</v>
      </c>
      <c r="B8" s="429"/>
      <c r="C8" s="429"/>
      <c r="D8" s="429"/>
    </row>
    <row r="9" spans="1:4" ht="15.75">
      <c r="A9" s="429" t="s">
        <v>111</v>
      </c>
      <c r="B9" s="430">
        <v>1500</v>
      </c>
      <c r="C9" s="429"/>
      <c r="D9" s="429"/>
    </row>
    <row r="10" spans="1:4" ht="15.75">
      <c r="A10" s="429"/>
      <c r="B10" s="430"/>
      <c r="C10" s="429"/>
      <c r="D10" s="429"/>
    </row>
    <row r="11" spans="1:4" ht="15.75">
      <c r="A11" s="429" t="s">
        <v>112</v>
      </c>
      <c r="B11" s="430">
        <f>B6-B9</f>
        <v>29001.573354942895</v>
      </c>
      <c r="C11" s="429"/>
      <c r="D11" s="429"/>
    </row>
    <row r="12" spans="1:4" ht="15.75">
      <c r="A12" s="429"/>
      <c r="B12" s="430"/>
      <c r="C12" s="429"/>
      <c r="D12" s="429"/>
    </row>
    <row r="13" spans="1:4" ht="15.75">
      <c r="A13" s="429" t="s">
        <v>113</v>
      </c>
      <c r="B13" s="430"/>
      <c r="C13" s="429"/>
      <c r="D13" s="429"/>
    </row>
    <row r="14" spans="1:4" ht="15.75">
      <c r="A14" s="429" t="s">
        <v>114</v>
      </c>
      <c r="B14" s="430">
        <f>B11*0.07</f>
        <v>2030.1101348460029</v>
      </c>
      <c r="C14" s="429"/>
      <c r="D14" s="429"/>
    </row>
    <row r="15" spans="1:4" ht="15.75">
      <c r="A15" s="429"/>
      <c r="B15" s="430"/>
      <c r="C15" s="429"/>
      <c r="D15" s="429"/>
    </row>
    <row r="16" spans="1:4" ht="15.75">
      <c r="A16" s="429" t="s">
        <v>115</v>
      </c>
      <c r="B16" s="430">
        <f>B11-B14</f>
        <v>26971.463220096892</v>
      </c>
      <c r="C16" s="430"/>
      <c r="D16" s="429"/>
    </row>
    <row r="17" spans="1:4" ht="15.75">
      <c r="A17" s="429"/>
      <c r="B17" s="430"/>
      <c r="C17" s="429"/>
      <c r="D17" s="429"/>
    </row>
    <row r="18" spans="1:4" ht="15.75">
      <c r="A18" s="429" t="s">
        <v>116</v>
      </c>
      <c r="B18" s="430">
        <f>B16*0.7</f>
        <v>18880.024254067823</v>
      </c>
      <c r="C18" s="430"/>
      <c r="D18" s="429"/>
    </row>
    <row r="19" spans="1:4" ht="15.75">
      <c r="A19" s="429" t="s">
        <v>117</v>
      </c>
      <c r="B19" s="430">
        <f>B16*0.3</f>
        <v>8091.4389660290672</v>
      </c>
      <c r="C19" s="430"/>
      <c r="D19" s="429"/>
    </row>
    <row r="20" spans="1:4" ht="15.75">
      <c r="A20" s="429"/>
      <c r="B20" s="429"/>
      <c r="C20" s="429"/>
      <c r="D20" s="429"/>
    </row>
    <row r="21" spans="1:4" ht="15.75">
      <c r="A21" s="429"/>
      <c r="B21" s="444"/>
      <c r="C21" s="429"/>
      <c r="D21" s="429"/>
    </row>
    <row r="22" spans="1:4" ht="15.75">
      <c r="A22" s="429"/>
      <c r="B22" s="429"/>
      <c r="C22" s="429"/>
      <c r="D22" s="429"/>
    </row>
  </sheetData>
  <mergeCells count="1">
    <mergeCell ref="A1:D1"/>
  </mergeCells>
  <phoneticPr fontId="46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42"/>
  <sheetViews>
    <sheetView tabSelected="1" topLeftCell="A289" zoomScaleNormal="100" workbookViewId="0">
      <selection activeCell="B96" sqref="B96"/>
    </sheetView>
  </sheetViews>
  <sheetFormatPr defaultColWidth="9.140625" defaultRowHeight="12"/>
  <cols>
    <col min="1" max="1" width="7.42578125" style="2" customWidth="1"/>
    <col min="2" max="5" width="7.7109375" style="2" customWidth="1"/>
    <col min="6" max="6" width="8.85546875" style="2" customWidth="1"/>
    <col min="7" max="7" width="9.28515625" style="2" customWidth="1"/>
    <col min="8" max="13" width="7.7109375" style="2" customWidth="1"/>
    <col min="14" max="14" width="15.42578125" style="2" customWidth="1"/>
    <col min="15" max="15" width="8.5703125" style="2" customWidth="1"/>
    <col min="16" max="16" width="8.42578125" style="2" customWidth="1"/>
    <col min="17" max="17" width="9.140625" style="2"/>
    <col min="18" max="18" width="8.7109375" style="2" customWidth="1"/>
    <col min="19" max="19" width="8.5703125" style="2" customWidth="1"/>
    <col min="20" max="20" width="9.85546875" style="2" bestFit="1" customWidth="1"/>
    <col min="21" max="21" width="10.140625" style="2" customWidth="1"/>
    <col min="22" max="22" width="9.85546875" style="2" bestFit="1" customWidth="1"/>
    <col min="23" max="23" width="10" style="2" customWidth="1"/>
    <col min="24" max="24" width="10.5703125" style="2" customWidth="1"/>
    <col min="25" max="26" width="9.28515625" style="2" customWidth="1"/>
    <col min="27" max="28" width="9.140625" style="2"/>
    <col min="29" max="29" width="13.5703125" style="2" customWidth="1"/>
    <col min="30" max="30" width="12.7109375" style="5" customWidth="1"/>
    <col min="31" max="31" width="3.7109375" style="5" customWidth="1"/>
    <col min="32" max="38" width="7.7109375" style="2" customWidth="1"/>
    <col min="39" max="39" width="10.85546875" style="2" customWidth="1"/>
    <col min="40" max="40" width="9.85546875" style="2" customWidth="1"/>
    <col min="41" max="47" width="7.7109375" style="2" customWidth="1"/>
    <col min="48" max="48" width="8.7109375" style="2" customWidth="1"/>
    <col min="49" max="16384" width="9.140625" style="2"/>
  </cols>
  <sheetData>
    <row r="1" spans="1:45" ht="11.25" customHeight="1">
      <c r="A1" s="1" t="s">
        <v>0</v>
      </c>
      <c r="I1" s="3" t="s">
        <v>1</v>
      </c>
      <c r="K1" s="4"/>
      <c r="M1" s="745"/>
      <c r="N1" s="746" t="s">
        <v>129</v>
      </c>
    </row>
    <row r="2" spans="1:45" ht="11.25" customHeight="1">
      <c r="B2" s="2" t="s">
        <v>2</v>
      </c>
      <c r="I2" s="5"/>
      <c r="J2" s="5"/>
      <c r="K2" s="5"/>
      <c r="L2" s="5"/>
    </row>
    <row r="3" spans="1:45" ht="11.25" customHeight="1">
      <c r="B3" s="2" t="s">
        <v>3</v>
      </c>
      <c r="I3" s="5"/>
      <c r="J3" s="5"/>
      <c r="K3" s="5"/>
      <c r="L3" s="5"/>
      <c r="M3" s="6"/>
      <c r="N3" s="6"/>
      <c r="O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E3" s="7"/>
      <c r="AF3" s="6"/>
      <c r="AG3" s="6"/>
      <c r="AH3" s="6"/>
    </row>
    <row r="4" spans="1:45" ht="11.25" customHeight="1">
      <c r="B4" s="464" t="s">
        <v>125</v>
      </c>
      <c r="I4" s="5"/>
      <c r="J4" s="5"/>
      <c r="K4" s="5"/>
      <c r="L4" s="5"/>
      <c r="M4" s="6"/>
      <c r="N4" s="6"/>
      <c r="O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  <c r="AE4" s="7"/>
      <c r="AF4" s="6"/>
      <c r="AG4" s="6"/>
      <c r="AH4" s="6"/>
    </row>
    <row r="5" spans="1:45" ht="11.25" customHeight="1" thickBot="1">
      <c r="I5" s="5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  <c r="Z5" s="7"/>
      <c r="AA5" s="7"/>
      <c r="AB5" s="6"/>
      <c r="AC5" s="6"/>
      <c r="AD5" s="7"/>
      <c r="AE5" s="7"/>
      <c r="AF5" s="6"/>
      <c r="AG5" s="6"/>
      <c r="AH5" s="6"/>
    </row>
    <row r="6" spans="1:45" ht="11.25" customHeight="1" thickTop="1">
      <c r="A6" s="8" t="s">
        <v>4</v>
      </c>
      <c r="B6" s="9"/>
      <c r="C6" s="9"/>
      <c r="D6" s="9"/>
      <c r="E6" s="9"/>
      <c r="F6" s="9"/>
      <c r="G6" s="9"/>
      <c r="H6" s="9"/>
      <c r="I6" s="9"/>
      <c r="J6" s="10"/>
      <c r="K6" s="10"/>
      <c r="L6" s="10"/>
      <c r="M6" s="11"/>
      <c r="N6" s="12"/>
      <c r="O6" s="12"/>
      <c r="P6" s="13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7"/>
      <c r="AD6" s="7"/>
      <c r="AE6" s="7"/>
      <c r="AF6" s="6"/>
      <c r="AG6" s="6"/>
      <c r="AH6" s="6"/>
    </row>
    <row r="7" spans="1:45" ht="11.25" customHeight="1">
      <c r="A7" s="1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5"/>
      <c r="N7" s="7"/>
      <c r="O7" s="7"/>
      <c r="P7" s="7"/>
      <c r="Q7" s="16"/>
      <c r="R7" s="7"/>
      <c r="S7" s="7"/>
      <c r="T7" s="7"/>
      <c r="U7" s="7"/>
      <c r="V7" s="17"/>
      <c r="W7" s="7"/>
      <c r="X7" s="7"/>
      <c r="Y7" s="7"/>
      <c r="Z7" s="7"/>
      <c r="AA7" s="7"/>
      <c r="AB7" s="7"/>
      <c r="AC7" s="7"/>
      <c r="AD7" s="7"/>
      <c r="AE7" s="7"/>
      <c r="AF7" s="6"/>
      <c r="AG7" s="6"/>
      <c r="AH7" s="6"/>
    </row>
    <row r="8" spans="1:45">
      <c r="A8" s="18" t="s">
        <v>5</v>
      </c>
      <c r="B8" s="19"/>
      <c r="C8" s="19"/>
      <c r="D8" s="19"/>
      <c r="E8" s="20"/>
      <c r="F8" s="20"/>
      <c r="G8" s="21" t="s">
        <v>6</v>
      </c>
      <c r="H8" s="20"/>
      <c r="I8" s="5"/>
      <c r="J8" s="22"/>
      <c r="K8" s="5"/>
      <c r="L8" s="5"/>
      <c r="M8" s="23"/>
      <c r="N8" s="5"/>
      <c r="O8" s="5"/>
      <c r="P8" s="24" t="s">
        <v>7</v>
      </c>
      <c r="Q8" s="19"/>
      <c r="R8" s="19"/>
      <c r="S8" s="19"/>
      <c r="T8" s="20"/>
      <c r="U8" s="21" t="s">
        <v>8</v>
      </c>
      <c r="V8" s="19"/>
      <c r="W8" s="19"/>
      <c r="X8" s="20"/>
      <c r="Y8" s="5"/>
      <c r="Z8" s="5"/>
      <c r="AA8" s="5"/>
      <c r="AB8" s="5"/>
      <c r="AC8" s="5"/>
      <c r="AF8" s="22"/>
      <c r="AG8" s="5"/>
      <c r="AH8" s="5"/>
      <c r="AI8" s="5"/>
      <c r="AJ8" s="5"/>
      <c r="AK8" s="5"/>
      <c r="AL8" s="25"/>
      <c r="AM8" s="5"/>
      <c r="AN8" s="5"/>
      <c r="AO8" s="5"/>
      <c r="AP8" s="5"/>
      <c r="AQ8" s="5"/>
      <c r="AR8" s="23"/>
      <c r="AS8" s="5"/>
    </row>
    <row r="9" spans="1:45" ht="10.5" customHeight="1">
      <c r="A9" s="14"/>
      <c r="B9" s="26"/>
      <c r="C9" s="19"/>
      <c r="D9" s="19"/>
      <c r="E9" s="27" t="s">
        <v>9</v>
      </c>
      <c r="F9" s="19"/>
      <c r="G9" s="19"/>
      <c r="H9" s="19"/>
      <c r="I9" s="28"/>
      <c r="J9" s="19"/>
      <c r="K9" s="19"/>
      <c r="L9" s="19"/>
      <c r="M9" s="20"/>
      <c r="N9" s="5"/>
      <c r="O9" s="5"/>
      <c r="P9" s="29"/>
      <c r="Q9" s="26"/>
      <c r="R9" s="19"/>
      <c r="S9" s="19"/>
      <c r="T9" s="27" t="s">
        <v>9</v>
      </c>
      <c r="U9" s="19"/>
      <c r="V9" s="19"/>
      <c r="W9" s="19"/>
      <c r="X9" s="28"/>
      <c r="Y9" s="19"/>
      <c r="Z9" s="19"/>
      <c r="AA9" s="19"/>
      <c r="AB9" s="20"/>
      <c r="AC9" s="5"/>
      <c r="AF9" s="7"/>
      <c r="AG9" s="7"/>
      <c r="AH9" s="7"/>
      <c r="AI9" s="7"/>
      <c r="AJ9" s="30"/>
      <c r="AK9" s="7"/>
      <c r="AL9" s="7"/>
      <c r="AM9" s="7"/>
      <c r="AN9" s="15"/>
      <c r="AO9" s="7"/>
      <c r="AP9" s="7"/>
      <c r="AQ9" s="7"/>
      <c r="AR9" s="15"/>
      <c r="AS9" s="7"/>
    </row>
    <row r="10" spans="1:45">
      <c r="A10" s="511" t="s">
        <v>10</v>
      </c>
      <c r="B10" s="31">
        <f>first_age</f>
        <v>4</v>
      </c>
      <c r="C10" s="31">
        <f t="shared" ref="C10:M10" si="0">+B10+1</f>
        <v>5</v>
      </c>
      <c r="D10" s="31">
        <f t="shared" si="0"/>
        <v>6</v>
      </c>
      <c r="E10" s="31">
        <f t="shared" si="0"/>
        <v>7</v>
      </c>
      <c r="F10" s="31">
        <f t="shared" si="0"/>
        <v>8</v>
      </c>
      <c r="G10" s="31">
        <f t="shared" si="0"/>
        <v>9</v>
      </c>
      <c r="H10" s="31">
        <f t="shared" si="0"/>
        <v>10</v>
      </c>
      <c r="I10" s="31">
        <f t="shared" si="0"/>
        <v>11</v>
      </c>
      <c r="J10" s="31">
        <f t="shared" si="0"/>
        <v>12</v>
      </c>
      <c r="K10" s="31">
        <f t="shared" si="0"/>
        <v>13</v>
      </c>
      <c r="L10" s="31">
        <f t="shared" si="0"/>
        <v>14</v>
      </c>
      <c r="M10" s="31">
        <f t="shared" si="0"/>
        <v>15</v>
      </c>
      <c r="N10" s="32"/>
      <c r="O10" s="32"/>
      <c r="P10" s="423" t="s">
        <v>10</v>
      </c>
      <c r="Q10" s="31">
        <f>first_age</f>
        <v>4</v>
      </c>
      <c r="R10" s="31">
        <f t="shared" ref="R10:AB10" si="1">C$56</f>
        <v>5</v>
      </c>
      <c r="S10" s="31">
        <f t="shared" si="1"/>
        <v>6</v>
      </c>
      <c r="T10" s="31">
        <f t="shared" si="1"/>
        <v>7</v>
      </c>
      <c r="U10" s="31">
        <f t="shared" si="1"/>
        <v>8</v>
      </c>
      <c r="V10" s="31">
        <f t="shared" si="1"/>
        <v>9</v>
      </c>
      <c r="W10" s="31">
        <f t="shared" si="1"/>
        <v>10</v>
      </c>
      <c r="X10" s="31">
        <f t="shared" si="1"/>
        <v>11</v>
      </c>
      <c r="Y10" s="31">
        <f t="shared" si="1"/>
        <v>12</v>
      </c>
      <c r="Z10" s="31">
        <f t="shared" si="1"/>
        <v>13</v>
      </c>
      <c r="AA10" s="31">
        <f t="shared" si="1"/>
        <v>14</v>
      </c>
      <c r="AB10" s="31" t="str">
        <f t="shared" si="1"/>
        <v>15+</v>
      </c>
      <c r="AC10" s="34"/>
      <c r="AD10" s="35"/>
      <c r="AE10" s="35"/>
      <c r="AF10" s="35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</row>
    <row r="11" spans="1:45" ht="11.25" customHeight="1">
      <c r="A11" s="37">
        <f>first_year</f>
        <v>1978</v>
      </c>
      <c r="B11" s="38">
        <v>0.59706524215403101</v>
      </c>
      <c r="C11" s="38">
        <v>1.4575416205524874</v>
      </c>
      <c r="D11" s="38">
        <v>0.80779415114957132</v>
      </c>
      <c r="E11" s="38">
        <v>3.5121484832590061E-2</v>
      </c>
      <c r="F11" s="38">
        <v>8.7803712081475152E-3</v>
      </c>
      <c r="G11" s="39">
        <v>1.756074241629503E-2</v>
      </c>
      <c r="H11" s="38"/>
      <c r="I11" s="38"/>
      <c r="J11" s="38"/>
      <c r="K11" s="38"/>
      <c r="L11" s="38"/>
      <c r="M11" s="40"/>
      <c r="N11" s="41"/>
      <c r="O11" s="41"/>
      <c r="P11" s="37">
        <f>first_year</f>
        <v>1978</v>
      </c>
      <c r="Q11" s="512">
        <v>158.09813615122394</v>
      </c>
      <c r="R11" s="42">
        <v>207.93547658178977</v>
      </c>
      <c r="S11" s="42">
        <v>256.63675663821687</v>
      </c>
      <c r="T11" s="42">
        <v>301.65057956220141</v>
      </c>
      <c r="U11" s="42">
        <v>341.51094116314175</v>
      </c>
      <c r="V11" s="42">
        <v>375.66328111419404</v>
      </c>
      <c r="W11" s="42">
        <v>404.19258351293996</v>
      </c>
      <c r="X11" s="42">
        <v>427.56476331626129</v>
      </c>
      <c r="Y11" s="42">
        <v>446.42743860463844</v>
      </c>
      <c r="Z11" s="42">
        <v>461.47650488570247</v>
      </c>
      <c r="AA11" s="42">
        <v>473.37729856416917</v>
      </c>
      <c r="AB11" s="43">
        <v>482.72473128202893</v>
      </c>
      <c r="AC11" s="34"/>
      <c r="AD11" s="34"/>
      <c r="AE11" s="34"/>
      <c r="AF11" s="3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5"/>
    </row>
    <row r="12" spans="1:45" ht="11.25" customHeight="1">
      <c r="A12" s="482">
        <f t="shared" ref="A12:A28" si="2">+A11+1</f>
        <v>1979</v>
      </c>
      <c r="B12" s="46">
        <v>1.7353238456711009</v>
      </c>
      <c r="C12" s="46">
        <v>10.957244967300589</v>
      </c>
      <c r="D12" s="46">
        <v>4.557873830097491</v>
      </c>
      <c r="E12" s="46">
        <v>1.1807735700001953</v>
      </c>
      <c r="F12" s="46">
        <v>0.1238946208352223</v>
      </c>
      <c r="G12" s="47">
        <v>5.3699424186324562E-2</v>
      </c>
      <c r="H12" s="46"/>
      <c r="I12" s="46"/>
      <c r="J12" s="46"/>
      <c r="K12" s="46"/>
      <c r="L12" s="46"/>
      <c r="M12" s="48"/>
      <c r="N12" s="41"/>
      <c r="O12" s="41"/>
      <c r="P12" s="482">
        <f t="shared" ref="P12:P30" si="3">+P11+1</f>
        <v>1979</v>
      </c>
      <c r="Q12" s="513">
        <v>158.09813615122394</v>
      </c>
      <c r="R12" s="49">
        <v>207.93547658178977</v>
      </c>
      <c r="S12" s="49">
        <v>256.63675663821687</v>
      </c>
      <c r="T12" s="49">
        <v>301.65057956220141</v>
      </c>
      <c r="U12" s="49">
        <v>341.51094116314175</v>
      </c>
      <c r="V12" s="49">
        <v>375.66328111419404</v>
      </c>
      <c r="W12" s="49">
        <v>404.19258351293996</v>
      </c>
      <c r="X12" s="49">
        <v>427.56476331626129</v>
      </c>
      <c r="Y12" s="49">
        <v>446.42743860463844</v>
      </c>
      <c r="Z12" s="49">
        <v>461.47650488570247</v>
      </c>
      <c r="AA12" s="49">
        <v>473.37729856416917</v>
      </c>
      <c r="AB12" s="50">
        <v>482.72473128202893</v>
      </c>
      <c r="AD12" s="34"/>
      <c r="AE12" s="34"/>
      <c r="AF12" s="3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5"/>
    </row>
    <row r="13" spans="1:45" ht="11.25" customHeight="1">
      <c r="A13" s="482">
        <f t="shared" si="2"/>
        <v>1980</v>
      </c>
      <c r="B13" s="46">
        <v>0.17100000000000001</v>
      </c>
      <c r="C13" s="46">
        <v>0.217</v>
      </c>
      <c r="D13" s="46">
        <v>8.14</v>
      </c>
      <c r="E13" s="46">
        <v>4.0229999999999997</v>
      </c>
      <c r="F13" s="46">
        <v>0.59</v>
      </c>
      <c r="G13" s="46">
        <v>5.1999999999999998E-2</v>
      </c>
      <c r="H13" s="47">
        <v>2.8000000000000001E-2</v>
      </c>
      <c r="I13" s="46"/>
      <c r="J13" s="46"/>
      <c r="K13" s="46"/>
      <c r="L13" s="46"/>
      <c r="M13" s="48"/>
      <c r="N13" s="41"/>
      <c r="O13" s="41"/>
      <c r="P13" s="482">
        <f t="shared" si="3"/>
        <v>1980</v>
      </c>
      <c r="Q13" s="513">
        <v>158.09813615122394</v>
      </c>
      <c r="R13" s="49">
        <v>207.93547658178977</v>
      </c>
      <c r="S13" s="49">
        <v>256.63675663821687</v>
      </c>
      <c r="T13" s="49">
        <v>301.65057956220141</v>
      </c>
      <c r="U13" s="49">
        <v>341.51094116314175</v>
      </c>
      <c r="V13" s="49">
        <v>375.66328111419404</v>
      </c>
      <c r="W13" s="49">
        <v>404.19258351293996</v>
      </c>
      <c r="X13" s="49">
        <v>427.56476331626129</v>
      </c>
      <c r="Y13" s="49">
        <v>446.42743860463844</v>
      </c>
      <c r="Z13" s="49">
        <v>461.47650488570247</v>
      </c>
      <c r="AA13" s="49">
        <v>473.37729856416917</v>
      </c>
      <c r="AB13" s="50">
        <v>482.72473128202893</v>
      </c>
      <c r="AD13" s="34"/>
      <c r="AE13" s="34"/>
      <c r="AF13" s="3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5"/>
    </row>
    <row r="14" spans="1:45" ht="11.25" customHeight="1">
      <c r="A14" s="482">
        <f t="shared" si="2"/>
        <v>1981</v>
      </c>
      <c r="B14" s="46">
        <v>5.9340000000000002</v>
      </c>
      <c r="C14" s="46">
        <v>1.06</v>
      </c>
      <c r="D14" s="46">
        <v>0.20899999999999999</v>
      </c>
      <c r="E14" s="46">
        <v>1.744</v>
      </c>
      <c r="F14" s="46">
        <v>0.55700000000000005</v>
      </c>
      <c r="G14" s="46">
        <v>0.10199999999999999</v>
      </c>
      <c r="H14" s="46">
        <v>7.0000000000000001E-3</v>
      </c>
      <c r="I14" s="47">
        <v>1.9E-2</v>
      </c>
      <c r="J14" s="46"/>
      <c r="K14" s="46"/>
      <c r="L14" s="46"/>
      <c r="M14" s="48"/>
      <c r="N14" s="41"/>
      <c r="O14" s="41"/>
      <c r="P14" s="482">
        <f t="shared" si="3"/>
        <v>1981</v>
      </c>
      <c r="Q14" s="514">
        <v>184</v>
      </c>
      <c r="R14" s="51">
        <v>207</v>
      </c>
      <c r="S14" s="52">
        <v>256.63675663821687</v>
      </c>
      <c r="T14" s="51">
        <v>318</v>
      </c>
      <c r="U14" s="51">
        <v>348</v>
      </c>
      <c r="V14" s="51">
        <v>350</v>
      </c>
      <c r="W14" s="49">
        <v>404.19258351293996</v>
      </c>
      <c r="X14" s="51">
        <v>436</v>
      </c>
      <c r="Y14" s="49">
        <v>446.42743860463844</v>
      </c>
      <c r="Z14" s="49">
        <v>461.47650488570247</v>
      </c>
      <c r="AA14" s="49">
        <v>473.37729856416917</v>
      </c>
      <c r="AB14" s="50">
        <v>482.72473128202893</v>
      </c>
      <c r="AC14" s="34"/>
      <c r="AD14" s="34"/>
      <c r="AE14" s="34"/>
      <c r="AF14" s="3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5"/>
    </row>
    <row r="15" spans="1:45" ht="11.25" customHeight="1">
      <c r="A15" s="53">
        <f t="shared" si="2"/>
        <v>1982</v>
      </c>
      <c r="B15" s="46">
        <v>6.226</v>
      </c>
      <c r="C15" s="46">
        <v>18.978999999999999</v>
      </c>
      <c r="D15" s="46">
        <v>1.147</v>
      </c>
      <c r="E15" s="46">
        <v>2.1000000000000001E-2</v>
      </c>
      <c r="F15" s="46">
        <v>1.048</v>
      </c>
      <c r="G15" s="46">
        <v>0.50900000000000001</v>
      </c>
      <c r="H15" s="46">
        <v>0.21099999999999999</v>
      </c>
      <c r="I15" s="46">
        <v>0</v>
      </c>
      <c r="J15" s="47">
        <v>0.28799999999999998</v>
      </c>
      <c r="K15" s="46"/>
      <c r="L15" s="46"/>
      <c r="M15" s="48"/>
      <c r="N15" s="41"/>
      <c r="O15" s="41"/>
      <c r="P15" s="53">
        <f t="shared" si="3"/>
        <v>1982</v>
      </c>
      <c r="Q15" s="514">
        <v>188</v>
      </c>
      <c r="R15" s="51">
        <v>239</v>
      </c>
      <c r="S15" s="51">
        <v>272</v>
      </c>
      <c r="T15" s="51">
        <v>287</v>
      </c>
      <c r="U15" s="51">
        <v>350</v>
      </c>
      <c r="V15" s="51">
        <v>389</v>
      </c>
      <c r="W15" s="51">
        <v>411</v>
      </c>
      <c r="X15" s="52">
        <v>427.56476331626129</v>
      </c>
      <c r="Y15" s="51">
        <v>480</v>
      </c>
      <c r="Z15" s="49">
        <v>461.47650488570247</v>
      </c>
      <c r="AA15" s="49">
        <v>473.37729856416917</v>
      </c>
      <c r="AB15" s="50">
        <v>482.72473128202893</v>
      </c>
      <c r="AC15" s="34"/>
      <c r="AD15" s="34"/>
      <c r="AE15" s="34"/>
      <c r="AF15" s="3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5"/>
    </row>
    <row r="16" spans="1:45" ht="11.25" customHeight="1">
      <c r="A16" s="53">
        <f t="shared" si="2"/>
        <v>1983</v>
      </c>
      <c r="B16" s="46">
        <v>2.7E-2</v>
      </c>
      <c r="C16" s="46">
        <v>6.641</v>
      </c>
      <c r="D16" s="46">
        <v>8.3979999999999997</v>
      </c>
      <c r="E16" s="46">
        <v>0.38</v>
      </c>
      <c r="F16" s="46">
        <v>0.26</v>
      </c>
      <c r="G16" s="46">
        <v>1.464</v>
      </c>
      <c r="H16" s="46">
        <v>0.30199999999999999</v>
      </c>
      <c r="I16" s="46">
        <v>7.0000000000000007E-2</v>
      </c>
      <c r="J16" s="46">
        <v>0</v>
      </c>
      <c r="K16" s="47">
        <v>1.7000000000000001E-2</v>
      </c>
      <c r="L16" s="46"/>
      <c r="M16" s="48"/>
      <c r="N16" s="41"/>
      <c r="O16" s="41"/>
      <c r="P16" s="53">
        <f t="shared" si="3"/>
        <v>1983</v>
      </c>
      <c r="Q16" s="514">
        <v>178</v>
      </c>
      <c r="R16" s="51">
        <v>237</v>
      </c>
      <c r="S16" s="51">
        <v>289</v>
      </c>
      <c r="T16" s="51">
        <v>328</v>
      </c>
      <c r="U16" s="51">
        <v>358</v>
      </c>
      <c r="V16" s="51">
        <v>392</v>
      </c>
      <c r="W16" s="51">
        <v>424</v>
      </c>
      <c r="X16" s="51">
        <v>447</v>
      </c>
      <c r="Y16" s="51">
        <v>521</v>
      </c>
      <c r="Z16" s="49">
        <v>461.47650488570247</v>
      </c>
      <c r="AA16" s="49">
        <v>473.37729856416917</v>
      </c>
      <c r="AB16" s="50">
        <v>482.72473128202893</v>
      </c>
      <c r="AC16" s="34"/>
      <c r="AD16" s="34"/>
      <c r="AE16" s="34"/>
      <c r="AF16" s="3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5"/>
    </row>
    <row r="17" spans="1:47" ht="11.25" customHeight="1">
      <c r="A17" s="53">
        <f t="shared" si="2"/>
        <v>1984</v>
      </c>
      <c r="B17" s="46">
        <v>7.2999999999999995E-2</v>
      </c>
      <c r="C17" s="46">
        <v>1.032</v>
      </c>
      <c r="D17" s="46">
        <v>5.1230000000000002</v>
      </c>
      <c r="E17" s="46">
        <v>6.5129999999999999</v>
      </c>
      <c r="F17" s="46">
        <v>0.73899999999999999</v>
      </c>
      <c r="G17" s="46">
        <v>0.9</v>
      </c>
      <c r="H17" s="46">
        <v>0.42</v>
      </c>
      <c r="I17" s="46">
        <v>4.1000000000000002E-2</v>
      </c>
      <c r="J17" s="46">
        <v>8.0000000000000002E-3</v>
      </c>
      <c r="K17" s="46">
        <v>0</v>
      </c>
      <c r="L17" s="47">
        <v>0</v>
      </c>
      <c r="M17" s="48"/>
      <c r="N17" s="41"/>
      <c r="O17" s="41"/>
      <c r="P17" s="53">
        <f t="shared" si="3"/>
        <v>1984</v>
      </c>
      <c r="Q17" s="514">
        <v>148</v>
      </c>
      <c r="R17" s="51">
        <v>213</v>
      </c>
      <c r="S17" s="51">
        <v>270</v>
      </c>
      <c r="T17" s="51">
        <v>314</v>
      </c>
      <c r="U17" s="51">
        <v>344</v>
      </c>
      <c r="V17" s="51">
        <v>391</v>
      </c>
      <c r="W17" s="51">
        <v>418</v>
      </c>
      <c r="X17" s="51">
        <v>431</v>
      </c>
      <c r="Y17" s="49">
        <v>446</v>
      </c>
      <c r="Z17" s="49">
        <v>461.47650488570247</v>
      </c>
      <c r="AA17" s="49">
        <v>473.37729856416917</v>
      </c>
      <c r="AB17" s="50">
        <v>482.72473128202893</v>
      </c>
      <c r="AC17" s="34"/>
      <c r="AD17" s="34"/>
      <c r="AE17" s="34"/>
      <c r="AF17" s="3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5"/>
    </row>
    <row r="18" spans="1:47" ht="11.25" customHeight="1">
      <c r="A18" s="53">
        <f t="shared" si="2"/>
        <v>1985</v>
      </c>
      <c r="B18" s="46">
        <v>6.0000000000000001E-3</v>
      </c>
      <c r="C18" s="46">
        <v>8.5999999999999993E-2</v>
      </c>
      <c r="D18" s="46">
        <v>1.2390000000000001</v>
      </c>
      <c r="E18" s="46">
        <v>4.9960000000000004</v>
      </c>
      <c r="F18" s="46">
        <v>4.641</v>
      </c>
      <c r="G18" s="46">
        <v>0.68100000000000005</v>
      </c>
      <c r="H18" s="46">
        <v>0.30299999999999999</v>
      </c>
      <c r="I18" s="46">
        <v>0.14699999999999999</v>
      </c>
      <c r="J18" s="46">
        <v>6.0000000000000001E-3</v>
      </c>
      <c r="K18" s="46">
        <v>0</v>
      </c>
      <c r="L18" s="46">
        <v>0</v>
      </c>
      <c r="M18" s="54">
        <v>0</v>
      </c>
      <c r="N18" s="41"/>
      <c r="O18" s="41"/>
      <c r="P18" s="53">
        <f t="shared" si="3"/>
        <v>1985</v>
      </c>
      <c r="Q18" s="514">
        <v>152</v>
      </c>
      <c r="R18" s="51">
        <v>204</v>
      </c>
      <c r="S18" s="51">
        <v>258</v>
      </c>
      <c r="T18" s="51">
        <v>318</v>
      </c>
      <c r="U18" s="51">
        <v>363</v>
      </c>
      <c r="V18" s="51">
        <v>403</v>
      </c>
      <c r="W18" s="51">
        <v>431</v>
      </c>
      <c r="X18" s="51">
        <v>454</v>
      </c>
      <c r="Y18" s="51">
        <v>455</v>
      </c>
      <c r="Z18" s="49">
        <v>461.47650488570247</v>
      </c>
      <c r="AA18" s="49">
        <v>473.37729856416917</v>
      </c>
      <c r="AB18" s="50">
        <v>482.72473128202893</v>
      </c>
      <c r="AC18" s="34"/>
      <c r="AD18" s="34"/>
      <c r="AE18" s="34"/>
      <c r="AF18" s="3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5"/>
    </row>
    <row r="19" spans="1:47" ht="11.25" customHeight="1">
      <c r="A19" s="482">
        <f t="shared" si="2"/>
        <v>1986</v>
      </c>
      <c r="B19" s="46">
        <v>0</v>
      </c>
      <c r="C19" s="46">
        <v>2.1000000000000001E-2</v>
      </c>
      <c r="D19" s="46">
        <v>0.23200000000000001</v>
      </c>
      <c r="E19" s="46">
        <v>1.8120000000000001</v>
      </c>
      <c r="F19" s="46">
        <v>4.6230000000000002</v>
      </c>
      <c r="G19" s="46">
        <v>2.33</v>
      </c>
      <c r="H19" s="46">
        <v>0.23300000000000001</v>
      </c>
      <c r="I19" s="46">
        <v>0.14000000000000001</v>
      </c>
      <c r="J19" s="46">
        <v>0</v>
      </c>
      <c r="K19" s="46">
        <v>0</v>
      </c>
      <c r="L19" s="46">
        <v>0</v>
      </c>
      <c r="M19" s="54">
        <v>0</v>
      </c>
      <c r="N19" s="41"/>
      <c r="O19" s="41"/>
      <c r="P19" s="482">
        <f t="shared" si="3"/>
        <v>1986</v>
      </c>
      <c r="Q19" s="514">
        <v>155</v>
      </c>
      <c r="R19" s="51">
        <v>201</v>
      </c>
      <c r="S19" s="51">
        <v>250</v>
      </c>
      <c r="T19" s="51">
        <v>305</v>
      </c>
      <c r="U19" s="51">
        <v>358</v>
      </c>
      <c r="V19" s="51">
        <v>394</v>
      </c>
      <c r="W19" s="51">
        <v>428</v>
      </c>
      <c r="X19" s="51">
        <v>449</v>
      </c>
      <c r="Y19" s="51">
        <v>463</v>
      </c>
      <c r="Z19" s="52">
        <v>461.47650488570247</v>
      </c>
      <c r="AA19" s="49">
        <v>473.37729856416917</v>
      </c>
      <c r="AB19" s="50">
        <v>482.72473128202893</v>
      </c>
      <c r="AC19" s="34"/>
      <c r="AD19" s="34"/>
      <c r="AE19" s="34"/>
      <c r="AF19" s="3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5"/>
    </row>
    <row r="20" spans="1:47" ht="11.25" customHeight="1">
      <c r="A20" s="482">
        <f t="shared" si="2"/>
        <v>1987</v>
      </c>
      <c r="B20" s="46">
        <v>0</v>
      </c>
      <c r="C20" s="46">
        <v>3.0000000000000001E-3</v>
      </c>
      <c r="D20" s="46">
        <v>0.50600000000000001</v>
      </c>
      <c r="E20" s="46">
        <v>0.65500000000000003</v>
      </c>
      <c r="F20" s="46">
        <v>2.0510000000000002</v>
      </c>
      <c r="G20" s="46">
        <v>2.5249999999999999</v>
      </c>
      <c r="H20" s="46">
        <v>0.70199999999999996</v>
      </c>
      <c r="I20" s="46">
        <v>0.14899999999999999</v>
      </c>
      <c r="J20" s="46">
        <v>7.6999999999999999E-2</v>
      </c>
      <c r="K20" s="46">
        <v>0</v>
      </c>
      <c r="L20" s="46">
        <v>0</v>
      </c>
      <c r="M20" s="54">
        <v>0</v>
      </c>
      <c r="N20" s="41"/>
      <c r="O20" s="41"/>
      <c r="P20" s="482">
        <f t="shared" si="3"/>
        <v>1987</v>
      </c>
      <c r="Q20" s="513">
        <v>158.09813615122394</v>
      </c>
      <c r="R20" s="51">
        <v>184</v>
      </c>
      <c r="S20" s="51">
        <v>272</v>
      </c>
      <c r="T20" s="51">
        <v>318</v>
      </c>
      <c r="U20" s="51">
        <v>373</v>
      </c>
      <c r="V20" s="52">
        <v>430</v>
      </c>
      <c r="W20" s="51">
        <v>469</v>
      </c>
      <c r="X20" s="51">
        <v>500</v>
      </c>
      <c r="Y20" s="51">
        <v>543</v>
      </c>
      <c r="Z20" s="52">
        <v>461.47650488570247</v>
      </c>
      <c r="AA20" s="49">
        <v>473.37729856416917</v>
      </c>
      <c r="AB20" s="50">
        <v>482.72473128202893</v>
      </c>
      <c r="AC20" s="34"/>
      <c r="AD20" s="34"/>
      <c r="AE20" s="34"/>
      <c r="AF20" s="3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5"/>
    </row>
    <row r="21" spans="1:47" ht="11.25" customHeight="1">
      <c r="A21" s="482">
        <f t="shared" si="2"/>
        <v>1988</v>
      </c>
      <c r="B21" s="46">
        <v>0</v>
      </c>
      <c r="C21" s="46">
        <v>0</v>
      </c>
      <c r="D21" s="46">
        <v>2.4E-2</v>
      </c>
      <c r="E21" s="46">
        <v>1.1020000000000001</v>
      </c>
      <c r="F21" s="46">
        <v>0.58799999999999997</v>
      </c>
      <c r="G21" s="46">
        <v>2.032</v>
      </c>
      <c r="H21" s="46">
        <v>3.6480000000000001</v>
      </c>
      <c r="I21" s="46">
        <v>1.077</v>
      </c>
      <c r="J21" s="46">
        <v>0.245</v>
      </c>
      <c r="K21" s="46">
        <v>2.4E-2</v>
      </c>
      <c r="L21" s="46">
        <v>2.4E-2</v>
      </c>
      <c r="M21" s="54">
        <v>0</v>
      </c>
      <c r="N21" s="41"/>
      <c r="O21" s="41"/>
      <c r="P21" s="482">
        <f t="shared" si="3"/>
        <v>1988</v>
      </c>
      <c r="Q21" s="514">
        <v>138</v>
      </c>
      <c r="R21" s="51">
        <v>186</v>
      </c>
      <c r="S21" s="51">
        <v>240</v>
      </c>
      <c r="T21" s="51">
        <v>305</v>
      </c>
      <c r="U21" s="51">
        <v>332</v>
      </c>
      <c r="V21" s="51">
        <v>403</v>
      </c>
      <c r="W21" s="51">
        <v>427</v>
      </c>
      <c r="X21" s="51">
        <v>457</v>
      </c>
      <c r="Y21" s="51">
        <v>505</v>
      </c>
      <c r="Z21" s="51">
        <v>518</v>
      </c>
      <c r="AA21" s="52">
        <v>563</v>
      </c>
      <c r="AB21" s="50">
        <v>482.72473128202893</v>
      </c>
      <c r="AC21" s="34"/>
      <c r="AD21" s="34"/>
      <c r="AE21" s="34"/>
      <c r="AF21" s="3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5"/>
    </row>
    <row r="22" spans="1:47" ht="11.25" customHeight="1">
      <c r="A22" s="482">
        <f t="shared" si="2"/>
        <v>1989</v>
      </c>
      <c r="B22" s="46">
        <v>0</v>
      </c>
      <c r="C22" s="46">
        <v>3.6999999999999998E-2</v>
      </c>
      <c r="D22" s="46">
        <v>0.61799999999999999</v>
      </c>
      <c r="E22" s="46">
        <v>0.38700000000000001</v>
      </c>
      <c r="F22" s="46">
        <v>1.6930000000000001</v>
      </c>
      <c r="G22" s="46">
        <v>0.55700000000000005</v>
      </c>
      <c r="H22" s="46">
        <v>1.0660000000000001</v>
      </c>
      <c r="I22" s="46">
        <v>1.496</v>
      </c>
      <c r="J22" s="46">
        <v>0.872</v>
      </c>
      <c r="K22" s="46">
        <v>4.4999999999999998E-2</v>
      </c>
      <c r="L22" s="46">
        <v>7.5999999999999998E-2</v>
      </c>
      <c r="M22" s="54">
        <v>3.4000000000000002E-2</v>
      </c>
      <c r="N22" s="41"/>
      <c r="O22" s="41"/>
      <c r="P22" s="482">
        <f t="shared" si="3"/>
        <v>1989</v>
      </c>
      <c r="Q22" s="513">
        <v>158.09813615122394</v>
      </c>
      <c r="R22" s="51">
        <v>195</v>
      </c>
      <c r="S22" s="51">
        <v>246</v>
      </c>
      <c r="T22" s="51">
        <v>294</v>
      </c>
      <c r="U22" s="51">
        <v>348</v>
      </c>
      <c r="V22" s="51">
        <v>385</v>
      </c>
      <c r="W22" s="51">
        <v>413</v>
      </c>
      <c r="X22" s="51">
        <v>441</v>
      </c>
      <c r="Y22" s="51">
        <v>460</v>
      </c>
      <c r="Z22" s="51">
        <v>469</v>
      </c>
      <c r="AA22" s="51">
        <v>490</v>
      </c>
      <c r="AB22" s="50">
        <v>482.72473128202893</v>
      </c>
      <c r="AC22" s="34"/>
      <c r="AD22" s="34"/>
      <c r="AE22" s="34"/>
      <c r="AF22" s="3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5"/>
    </row>
    <row r="23" spans="1:47" ht="11.25" customHeight="1">
      <c r="A23" s="482">
        <f t="shared" si="2"/>
        <v>1990</v>
      </c>
      <c r="B23" s="46">
        <v>0</v>
      </c>
      <c r="C23" s="46">
        <v>2.1814118345371555E-2</v>
      </c>
      <c r="D23" s="46">
        <v>0.45953727750510487</v>
      </c>
      <c r="E23" s="46">
        <v>1.0555995711526864</v>
      </c>
      <c r="F23" s="46">
        <v>0.36126886871116659</v>
      </c>
      <c r="G23" s="46">
        <v>1.3209452929517107</v>
      </c>
      <c r="H23" s="46">
        <v>0.42419907430385273</v>
      </c>
      <c r="I23" s="46">
        <v>1.1011885926762648</v>
      </c>
      <c r="J23" s="46">
        <v>1.4732735083162156</v>
      </c>
      <c r="K23" s="46">
        <v>0.69787077411247422</v>
      </c>
      <c r="L23" s="46">
        <v>0.10540264644979963</v>
      </c>
      <c r="M23" s="54">
        <v>9.3965127544010346E-2</v>
      </c>
      <c r="N23" s="41"/>
      <c r="O23" s="41"/>
      <c r="P23" s="482">
        <f t="shared" si="3"/>
        <v>1990</v>
      </c>
      <c r="Q23" s="514">
        <v>151</v>
      </c>
      <c r="R23" s="51">
        <v>209</v>
      </c>
      <c r="S23" s="51">
        <v>246</v>
      </c>
      <c r="T23" s="51">
        <v>303</v>
      </c>
      <c r="U23" s="51">
        <v>355</v>
      </c>
      <c r="V23" s="51">
        <v>390</v>
      </c>
      <c r="W23" s="51">
        <v>421</v>
      </c>
      <c r="X23" s="51">
        <v>445</v>
      </c>
      <c r="Y23" s="51">
        <v>469</v>
      </c>
      <c r="Z23" s="51">
        <v>495</v>
      </c>
      <c r="AA23" s="51">
        <v>511</v>
      </c>
      <c r="AB23" s="55">
        <v>491</v>
      </c>
      <c r="AC23" s="7"/>
      <c r="AD23" s="7"/>
      <c r="AE23" s="34"/>
      <c r="AF23" s="3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5"/>
    </row>
    <row r="24" spans="1:47" ht="11.25" customHeight="1">
      <c r="A24" s="482">
        <f t="shared" si="2"/>
        <v>1991</v>
      </c>
      <c r="B24" s="46">
        <v>2.8690591836058672E-2</v>
      </c>
      <c r="C24" s="46">
        <v>0</v>
      </c>
      <c r="D24" s="46">
        <v>4.2418825615855839E-2</v>
      </c>
      <c r="E24" s="46">
        <v>0.97740701032656141</v>
      </c>
      <c r="F24" s="46">
        <v>1.7930623998532165</v>
      </c>
      <c r="G24" s="46">
        <v>0.46124415165224264</v>
      </c>
      <c r="H24" s="46">
        <v>1.0167311146012978</v>
      </c>
      <c r="I24" s="46">
        <v>0.61106419015561519</v>
      </c>
      <c r="J24" s="46">
        <v>1.0363717092983034</v>
      </c>
      <c r="K24" s="46">
        <v>1.1146274054134448</v>
      </c>
      <c r="L24" s="46">
        <v>0.25871558674041734</v>
      </c>
      <c r="M24" s="54">
        <v>3.9465353568484345E-2</v>
      </c>
      <c r="N24" s="41"/>
      <c r="O24" s="41"/>
      <c r="P24" s="482">
        <f t="shared" si="3"/>
        <v>1991</v>
      </c>
      <c r="Q24" s="514">
        <v>163</v>
      </c>
      <c r="R24" s="51">
        <v>187</v>
      </c>
      <c r="S24" s="51">
        <v>271</v>
      </c>
      <c r="T24" s="51">
        <v>313</v>
      </c>
      <c r="U24" s="51">
        <v>361</v>
      </c>
      <c r="V24" s="51">
        <v>400</v>
      </c>
      <c r="W24" s="51">
        <v>438</v>
      </c>
      <c r="X24" s="51">
        <v>468</v>
      </c>
      <c r="Y24" s="51">
        <v>491</v>
      </c>
      <c r="Z24" s="51">
        <v>517</v>
      </c>
      <c r="AA24" s="51">
        <v>519</v>
      </c>
      <c r="AB24" s="55">
        <v>516</v>
      </c>
      <c r="AC24" s="34"/>
      <c r="AD24" s="34"/>
      <c r="AE24" s="34"/>
      <c r="AF24" s="3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5"/>
    </row>
    <row r="25" spans="1:47" ht="11.25" customHeight="1">
      <c r="A25" s="482">
        <f t="shared" si="2"/>
        <v>1992</v>
      </c>
      <c r="B25" s="46">
        <f>5000/1000000</f>
        <v>5.0000000000000001E-3</v>
      </c>
      <c r="C25" s="46">
        <f>477000/1000000</f>
        <v>0.47699999999999998</v>
      </c>
      <c r="D25" s="46">
        <f>96000/1000000</f>
        <v>9.6000000000000002E-2</v>
      </c>
      <c r="E25" s="46">
        <f>475000/1000000</f>
        <v>0.47499999999999998</v>
      </c>
      <c r="F25" s="46">
        <f>3314000/1000000</f>
        <v>3.3140000000000001</v>
      </c>
      <c r="G25" s="46">
        <f>3187000/1000000</f>
        <v>3.1869999999999998</v>
      </c>
      <c r="H25" s="46">
        <f>385000/1000000</f>
        <v>0.38500000000000001</v>
      </c>
      <c r="I25" s="46">
        <f>1127000/1000000</f>
        <v>1.127</v>
      </c>
      <c r="J25" s="46">
        <f>603000/1000000</f>
        <v>0.60299999999999998</v>
      </c>
      <c r="K25" s="46">
        <v>0.63600000000000001</v>
      </c>
      <c r="L25" s="46">
        <f>868000/1000000</f>
        <v>0.86799999999999999</v>
      </c>
      <c r="M25" s="54">
        <f>(347000+36000+27000)/1000000</f>
        <v>0.41</v>
      </c>
      <c r="N25" s="41"/>
      <c r="O25" s="41"/>
      <c r="P25" s="482">
        <f t="shared" si="3"/>
        <v>1992</v>
      </c>
      <c r="Q25" s="514">
        <v>159</v>
      </c>
      <c r="R25" s="51">
        <v>208</v>
      </c>
      <c r="S25" s="51">
        <v>239</v>
      </c>
      <c r="T25" s="51">
        <v>324</v>
      </c>
      <c r="U25" s="51">
        <v>371</v>
      </c>
      <c r="V25" s="51">
        <v>421</v>
      </c>
      <c r="W25" s="51">
        <v>451</v>
      </c>
      <c r="X25" s="51">
        <v>495</v>
      </c>
      <c r="Y25" s="51">
        <v>517</v>
      </c>
      <c r="Z25" s="51">
        <v>531</v>
      </c>
      <c r="AA25" s="51">
        <v>556</v>
      </c>
      <c r="AB25" s="55">
        <v>565</v>
      </c>
      <c r="AC25" s="34"/>
      <c r="AD25" s="34"/>
      <c r="AE25" s="34"/>
      <c r="AF25" s="3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5"/>
    </row>
    <row r="26" spans="1:47" ht="11.25" customHeight="1">
      <c r="A26" s="482">
        <f t="shared" si="2"/>
        <v>1993</v>
      </c>
      <c r="B26" s="57">
        <v>0</v>
      </c>
      <c r="C26" s="56">
        <v>0.14099999999999999</v>
      </c>
      <c r="D26" s="57">
        <v>0.76700000000000002</v>
      </c>
      <c r="E26" s="57">
        <v>0.18099999999999999</v>
      </c>
      <c r="F26" s="57">
        <v>0.253</v>
      </c>
      <c r="G26" s="57">
        <v>1.448</v>
      </c>
      <c r="H26" s="57">
        <v>1.2569999999999999</v>
      </c>
      <c r="I26" s="57">
        <v>0.47199999999999998</v>
      </c>
      <c r="J26" s="57">
        <v>0.61</v>
      </c>
      <c r="K26" s="57">
        <v>0.374</v>
      </c>
      <c r="L26" s="57">
        <v>0.26300000000000001</v>
      </c>
      <c r="M26" s="58">
        <f>0.48+0.125</f>
        <v>0.60499999999999998</v>
      </c>
      <c r="N26" s="59"/>
      <c r="O26" s="41"/>
      <c r="P26" s="482">
        <f t="shared" si="3"/>
        <v>1993</v>
      </c>
      <c r="Q26" s="514">
        <v>160</v>
      </c>
      <c r="R26" s="51">
        <v>208</v>
      </c>
      <c r="S26" s="51">
        <v>248</v>
      </c>
      <c r="T26" s="51">
        <v>280</v>
      </c>
      <c r="U26" s="51">
        <v>340</v>
      </c>
      <c r="V26" s="51">
        <v>363</v>
      </c>
      <c r="W26" s="51">
        <v>396</v>
      </c>
      <c r="X26" s="51">
        <v>437</v>
      </c>
      <c r="Y26" s="51">
        <v>452</v>
      </c>
      <c r="Z26" s="51">
        <v>474</v>
      </c>
      <c r="AA26" s="51">
        <v>483</v>
      </c>
      <c r="AB26" s="55">
        <v>497</v>
      </c>
      <c r="AC26" s="34"/>
      <c r="AD26" s="34"/>
      <c r="AE26" s="34"/>
      <c r="AF26" s="3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5"/>
    </row>
    <row r="27" spans="1:47" ht="11.25" customHeight="1">
      <c r="A27" s="482">
        <f t="shared" si="2"/>
        <v>1994</v>
      </c>
      <c r="B27" s="41">
        <v>0</v>
      </c>
      <c r="C27" s="41">
        <v>0.158</v>
      </c>
      <c r="D27" s="41">
        <v>1.224</v>
      </c>
      <c r="E27" s="41">
        <v>3.1269999999999998</v>
      </c>
      <c r="F27" s="41">
        <v>0.57899999999999996</v>
      </c>
      <c r="G27" s="41">
        <v>1.7290000000000001</v>
      </c>
      <c r="H27" s="41">
        <v>3.64</v>
      </c>
      <c r="I27" s="41">
        <v>2.5739999999999998</v>
      </c>
      <c r="J27" s="41">
        <v>0.97099999999999997</v>
      </c>
      <c r="K27" s="41">
        <v>0.91500000000000004</v>
      </c>
      <c r="L27" s="41">
        <v>0.47099999999999997</v>
      </c>
      <c r="M27" s="60">
        <v>1.895</v>
      </c>
      <c r="N27" s="41">
        <f>SUM(B27:M27)</f>
        <v>17.282999999999998</v>
      </c>
      <c r="O27" s="41"/>
      <c r="P27" s="482">
        <f t="shared" si="3"/>
        <v>1994</v>
      </c>
      <c r="Q27" s="513">
        <v>158.09813615122394</v>
      </c>
      <c r="R27" s="476">
        <v>222</v>
      </c>
      <c r="S27" s="476">
        <v>272</v>
      </c>
      <c r="T27" s="476">
        <v>309</v>
      </c>
      <c r="U27" s="476">
        <v>316</v>
      </c>
      <c r="V27" s="476">
        <v>382</v>
      </c>
      <c r="W27" s="476">
        <v>408</v>
      </c>
      <c r="X27" s="476">
        <v>437</v>
      </c>
      <c r="Y27" s="476">
        <v>455</v>
      </c>
      <c r="Z27" s="476">
        <v>480</v>
      </c>
      <c r="AA27" s="476">
        <v>482</v>
      </c>
      <c r="AB27" s="62">
        <v>509</v>
      </c>
      <c r="AC27" s="34"/>
      <c r="AD27" s="34"/>
      <c r="AE27" s="34"/>
      <c r="AF27" s="34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45"/>
    </row>
    <row r="28" spans="1:47" ht="11.25" customHeight="1">
      <c r="A28" s="482">
        <f t="shared" si="2"/>
        <v>1995</v>
      </c>
      <c r="B28" s="41">
        <v>0</v>
      </c>
      <c r="C28" s="41">
        <f>62000/1000000</f>
        <v>6.2E-2</v>
      </c>
      <c r="D28" s="41">
        <v>0</v>
      </c>
      <c r="E28" s="41">
        <f>293000/1000000</f>
        <v>0.29299999999999998</v>
      </c>
      <c r="F28" s="41">
        <f>2397000/1000000</f>
        <v>2.3969999999999998</v>
      </c>
      <c r="G28" s="41">
        <f>652000/1000000</f>
        <v>0.65200000000000002</v>
      </c>
      <c r="H28" s="41">
        <f>1014000/1000000</f>
        <v>1.014</v>
      </c>
      <c r="I28" s="41">
        <f>2364000/1000000</f>
        <v>2.3639999999999999</v>
      </c>
      <c r="J28" s="41">
        <f>2507000/1000000</f>
        <v>2.5070000000000001</v>
      </c>
      <c r="K28" s="41">
        <f>1821000/1000000</f>
        <v>1.821</v>
      </c>
      <c r="L28" s="41">
        <f>1135000/1000000</f>
        <v>1.135</v>
      </c>
      <c r="M28" s="60">
        <f>2581000/1000000</f>
        <v>2.581</v>
      </c>
      <c r="N28" s="41">
        <f>SUM(B28:M28)</f>
        <v>14.825999999999999</v>
      </c>
      <c r="O28" s="63"/>
      <c r="P28" s="482">
        <f t="shared" si="3"/>
        <v>1995</v>
      </c>
      <c r="Q28" s="515">
        <v>178</v>
      </c>
      <c r="R28" s="476">
        <v>216</v>
      </c>
      <c r="S28" s="476">
        <v>257</v>
      </c>
      <c r="T28" s="476">
        <v>292</v>
      </c>
      <c r="U28" s="476">
        <v>324</v>
      </c>
      <c r="V28" s="476">
        <v>336</v>
      </c>
      <c r="W28" s="476">
        <v>369</v>
      </c>
      <c r="X28" s="476">
        <v>400</v>
      </c>
      <c r="Y28" s="476">
        <v>418</v>
      </c>
      <c r="Z28" s="476">
        <v>430</v>
      </c>
      <c r="AA28" s="476">
        <v>440</v>
      </c>
      <c r="AB28" s="62">
        <v>460</v>
      </c>
      <c r="AC28" s="34"/>
      <c r="AD28" s="34"/>
      <c r="AE28" s="34"/>
      <c r="AF28" s="34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45"/>
    </row>
    <row r="29" spans="1:47" ht="11.25" customHeight="1">
      <c r="A29" s="482">
        <v>1996</v>
      </c>
      <c r="B29" s="41">
        <v>0</v>
      </c>
      <c r="C29" s="41">
        <v>0</v>
      </c>
      <c r="D29" s="41">
        <v>2.1999999999999999E-2</v>
      </c>
      <c r="E29" s="41">
        <v>0.22</v>
      </c>
      <c r="F29" s="41">
        <v>1.6919999999999999</v>
      </c>
      <c r="G29" s="41">
        <v>4.1269999999999998</v>
      </c>
      <c r="H29" s="41">
        <v>2.0659999999999998</v>
      </c>
      <c r="I29" s="41">
        <v>1.417</v>
      </c>
      <c r="J29" s="41">
        <v>1.345</v>
      </c>
      <c r="K29" s="41">
        <v>1.8680000000000001</v>
      </c>
      <c r="L29" s="41">
        <v>1.117</v>
      </c>
      <c r="M29" s="60">
        <v>1.08</v>
      </c>
      <c r="N29" s="41">
        <f>6550*2000/2204.62</f>
        <v>5942.0671136068804</v>
      </c>
      <c r="O29" s="41"/>
      <c r="P29" s="482">
        <f t="shared" si="3"/>
        <v>1996</v>
      </c>
      <c r="Q29" s="516">
        <v>159.19999999999999</v>
      </c>
      <c r="R29" s="64">
        <v>208.57627118644066</v>
      </c>
      <c r="S29" s="64">
        <v>253.14596949891069</v>
      </c>
      <c r="T29" s="64">
        <v>297.5</v>
      </c>
      <c r="U29" s="64">
        <v>331.03436657681942</v>
      </c>
      <c r="V29" s="64">
        <v>363.5151515151515</v>
      </c>
      <c r="W29" s="64">
        <v>393.20926243567754</v>
      </c>
      <c r="X29" s="64">
        <v>417.49847094801225</v>
      </c>
      <c r="Y29" s="64">
        <v>448.56811594202901</v>
      </c>
      <c r="Z29" s="64">
        <v>469.78287461773698</v>
      </c>
      <c r="AA29" s="64">
        <v>489.86343612334804</v>
      </c>
      <c r="AB29" s="65">
        <v>505.38582677165357</v>
      </c>
      <c r="AC29" s="34"/>
      <c r="AD29" s="34"/>
      <c r="AE29" s="34"/>
      <c r="AF29" s="34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45"/>
    </row>
    <row r="30" spans="1:47" ht="11.25" customHeight="1">
      <c r="A30" s="448">
        <v>1997</v>
      </c>
      <c r="B30" s="41">
        <v>3.1199999999999999E-2</v>
      </c>
      <c r="C30" s="41">
        <v>5.6000000000000001E-2</v>
      </c>
      <c r="D30" s="41">
        <v>0.14099999999999999</v>
      </c>
      <c r="E30" s="41">
        <v>0.41399999999999998</v>
      </c>
      <c r="F30" s="41">
        <v>0.57499999999999996</v>
      </c>
      <c r="G30" s="41">
        <v>2.7770000000000001</v>
      </c>
      <c r="H30" s="41">
        <v>2.718</v>
      </c>
      <c r="I30" s="41">
        <v>2.0609999999999999</v>
      </c>
      <c r="J30" s="41">
        <v>0.64200000000000002</v>
      </c>
      <c r="K30" s="41">
        <v>0.78500000000000003</v>
      </c>
      <c r="L30" s="41">
        <v>0.88300000000000001</v>
      </c>
      <c r="M30" s="60">
        <v>0.877</v>
      </c>
      <c r="N30" s="63">
        <f>5165*2000/2204.62</f>
        <v>4685.614754470158</v>
      </c>
      <c r="O30" s="41"/>
      <c r="P30" s="482">
        <f t="shared" si="3"/>
        <v>1997</v>
      </c>
      <c r="Q30" s="516">
        <v>160.01418439716312</v>
      </c>
      <c r="R30" s="64">
        <v>198.18571428571428</v>
      </c>
      <c r="S30" s="64">
        <v>234.0617128463476</v>
      </c>
      <c r="T30" s="64">
        <v>274.81620839363239</v>
      </c>
      <c r="U30" s="64">
        <v>312.68454935622316</v>
      </c>
      <c r="V30" s="64">
        <v>338.29337899543378</v>
      </c>
      <c r="W30" s="64">
        <v>363.42919075144511</v>
      </c>
      <c r="X30" s="64">
        <v>374.91509433962267</v>
      </c>
      <c r="Y30" s="64">
        <v>407.12676056338029</v>
      </c>
      <c r="Z30" s="64">
        <v>417.68932038834953</v>
      </c>
      <c r="AA30" s="64">
        <v>421.75342465753425</v>
      </c>
      <c r="AB30" s="65">
        <v>432.20408163265307</v>
      </c>
      <c r="AC30" s="34"/>
      <c r="AD30" s="34"/>
      <c r="AE30" s="34"/>
      <c r="AF30" s="393"/>
      <c r="AG30" s="393"/>
      <c r="AH30" s="393"/>
      <c r="AI30" s="393"/>
      <c r="AJ30" s="393"/>
      <c r="AK30" s="393"/>
      <c r="AL30" s="393"/>
      <c r="AM30" s="393"/>
      <c r="AN30" s="393"/>
      <c r="AO30" s="393"/>
      <c r="AP30" s="393"/>
      <c r="AQ30" s="393"/>
      <c r="AR30" s="393"/>
      <c r="AS30" s="393"/>
      <c r="AT30" s="393"/>
      <c r="AU30" s="393"/>
    </row>
    <row r="31" spans="1:47" ht="11.25" customHeight="1">
      <c r="A31" s="449" t="s">
        <v>101</v>
      </c>
      <c r="B31" s="66">
        <v>0</v>
      </c>
      <c r="C31" s="66">
        <v>5.8000000000000003E-2</v>
      </c>
      <c r="D31" s="66">
        <v>0.25900000000000001</v>
      </c>
      <c r="E31" s="66">
        <v>1.766</v>
      </c>
      <c r="F31" s="66">
        <v>1.7829999999999999</v>
      </c>
      <c r="G31" s="66">
        <v>1.8009999999999999</v>
      </c>
      <c r="H31" s="66">
        <v>2.1459999999999999</v>
      </c>
      <c r="I31" s="66">
        <v>3.1440000000000001</v>
      </c>
      <c r="J31" s="66">
        <v>2.2570000000000001</v>
      </c>
      <c r="K31" s="66">
        <v>0.80800000000000005</v>
      </c>
      <c r="L31" s="66">
        <v>0.35099999999999998</v>
      </c>
      <c r="M31" s="450">
        <v>0.434</v>
      </c>
      <c r="N31" s="63">
        <f t="shared" ref="N31:N38" si="4">SUM(B31:M31)*1000000</f>
        <v>14807000</v>
      </c>
      <c r="O31" s="41"/>
      <c r="P31" s="482">
        <v>1998</v>
      </c>
      <c r="Q31" s="516">
        <v>187</v>
      </c>
      <c r="R31" s="64">
        <v>217.97883597883597</v>
      </c>
      <c r="S31" s="64">
        <v>251.01829268292684</v>
      </c>
      <c r="T31" s="64">
        <v>292.95030120481925</v>
      </c>
      <c r="U31" s="64">
        <v>321.38658146964855</v>
      </c>
      <c r="V31" s="64">
        <v>353.0915254237288</v>
      </c>
      <c r="W31" s="64">
        <v>383.61154855643042</v>
      </c>
      <c r="X31" s="64">
        <v>395.99108138238574</v>
      </c>
      <c r="Y31" s="64">
        <v>408.87400000000002</v>
      </c>
      <c r="Z31" s="64">
        <v>423.45</v>
      </c>
      <c r="AA31" s="64">
        <v>436.69402985074629</v>
      </c>
      <c r="AB31" s="65">
        <v>449.125</v>
      </c>
      <c r="AC31" s="34"/>
      <c r="AD31" s="34"/>
      <c r="AE31" s="34"/>
      <c r="AF31" s="393"/>
      <c r="AG31" s="393"/>
      <c r="AH31" s="393"/>
      <c r="AI31" s="393"/>
      <c r="AJ31" s="393"/>
      <c r="AK31" s="393"/>
      <c r="AL31" s="393"/>
      <c r="AM31" s="393"/>
      <c r="AN31" s="393"/>
      <c r="AO31" s="393"/>
      <c r="AP31" s="393"/>
      <c r="AQ31" s="393"/>
      <c r="AR31" s="393"/>
      <c r="AS31" s="393"/>
      <c r="AT31" s="393"/>
      <c r="AU31" s="393"/>
    </row>
    <row r="32" spans="1:47" ht="11.25" customHeight="1">
      <c r="A32" s="482">
        <v>1999</v>
      </c>
      <c r="B32" s="46">
        <v>0</v>
      </c>
      <c r="C32" s="46">
        <v>0</v>
      </c>
      <c r="D32" s="46">
        <v>0.29699999999999999</v>
      </c>
      <c r="E32" s="46">
        <v>0.495</v>
      </c>
      <c r="F32" s="46">
        <v>1.617</v>
      </c>
      <c r="G32" s="46">
        <v>1.5840000000000001</v>
      </c>
      <c r="H32" s="46">
        <v>1.419</v>
      </c>
      <c r="I32" s="46">
        <v>2.2429999999999999</v>
      </c>
      <c r="J32" s="46">
        <v>2.2429999999999999</v>
      </c>
      <c r="K32" s="46">
        <v>1.32</v>
      </c>
      <c r="L32" s="46">
        <v>0.36299999999999999</v>
      </c>
      <c r="M32" s="48">
        <v>0.33</v>
      </c>
      <c r="N32" s="63">
        <f t="shared" si="4"/>
        <v>11911000</v>
      </c>
      <c r="O32" s="41"/>
      <c r="P32" s="482">
        <v>1999</v>
      </c>
      <c r="Q32" s="516">
        <v>171.04</v>
      </c>
      <c r="R32" s="64">
        <v>215.34645669291339</v>
      </c>
      <c r="S32" s="64">
        <v>249.86935704514363</v>
      </c>
      <c r="T32" s="64">
        <v>272.2564491654021</v>
      </c>
      <c r="U32" s="64">
        <v>302.8692528735632</v>
      </c>
      <c r="V32" s="64">
        <v>328.85992217898831</v>
      </c>
      <c r="W32" s="64">
        <v>345.76348547717845</v>
      </c>
      <c r="X32" s="64">
        <v>368.8975332068311</v>
      </c>
      <c r="Y32" s="64">
        <v>382.99395770392749</v>
      </c>
      <c r="Z32" s="64">
        <v>391.02793296089385</v>
      </c>
      <c r="AA32" s="64">
        <v>412.10606060606062</v>
      </c>
      <c r="AB32" s="65">
        <v>421.85</v>
      </c>
      <c r="AC32" s="34"/>
      <c r="AD32" s="34"/>
      <c r="AE32" s="34"/>
      <c r="AF32" s="34"/>
      <c r="AG32" s="394"/>
      <c r="AH32" s="394"/>
      <c r="AI32" s="394"/>
      <c r="AJ32" s="394"/>
      <c r="AK32" s="394"/>
      <c r="AL32" s="394"/>
      <c r="AM32" s="394"/>
      <c r="AN32" s="394"/>
      <c r="AO32" s="394"/>
      <c r="AP32" s="394"/>
      <c r="AQ32" s="394"/>
      <c r="AR32" s="394"/>
      <c r="AS32" s="394"/>
      <c r="AT32" s="394"/>
      <c r="AU32" s="394"/>
    </row>
    <row r="33" spans="1:45" ht="11.25" customHeight="1">
      <c r="A33" s="482">
        <v>2000</v>
      </c>
      <c r="B33" s="46">
        <f>49000/1000000</f>
        <v>4.9000000000000002E-2</v>
      </c>
      <c r="C33" s="46">
        <f>8000/1000000</f>
        <v>8.0000000000000002E-3</v>
      </c>
      <c r="D33" s="46">
        <f>81000/1000000</f>
        <v>8.1000000000000003E-2</v>
      </c>
      <c r="E33" s="46">
        <f>2049000/1000000</f>
        <v>2.0489999999999999</v>
      </c>
      <c r="F33" s="46">
        <f>2022000/1000000</f>
        <v>2.0219999999999998</v>
      </c>
      <c r="G33" s="46">
        <v>2.2090000000000001</v>
      </c>
      <c r="H33" s="46">
        <v>1.2010000000000001</v>
      </c>
      <c r="I33" s="46">
        <v>2.2330000000000001</v>
      </c>
      <c r="J33" s="46">
        <v>1.0509999999999999</v>
      </c>
      <c r="K33" s="46">
        <v>1.167</v>
      </c>
      <c r="L33" s="46">
        <v>0.63900000000000001</v>
      </c>
      <c r="M33" s="48">
        <f>348000/1000000</f>
        <v>0.34799999999999998</v>
      </c>
      <c r="N33" s="63">
        <f t="shared" si="4"/>
        <v>13057000</v>
      </c>
      <c r="O33" s="41"/>
      <c r="P33" s="482">
        <v>2000</v>
      </c>
      <c r="Q33" s="516">
        <v>148.68</v>
      </c>
      <c r="R33" s="64">
        <v>179.63698630136986</v>
      </c>
      <c r="S33" s="64">
        <v>249.61428571428573</v>
      </c>
      <c r="T33" s="64">
        <v>305.53878406708594</v>
      </c>
      <c r="U33" s="64">
        <v>323.11538461538464</v>
      </c>
      <c r="V33" s="64">
        <v>351.10933940774487</v>
      </c>
      <c r="W33" s="64">
        <v>371.36458333333331</v>
      </c>
      <c r="X33" s="64">
        <v>392.68827930174564</v>
      </c>
      <c r="Y33" s="64">
        <v>408.01384083044985</v>
      </c>
      <c r="Z33" s="64">
        <v>430.55965909090907</v>
      </c>
      <c r="AA33" s="64">
        <v>444.08300395256919</v>
      </c>
      <c r="AB33" s="65">
        <v>441.35483870967744</v>
      </c>
      <c r="AC33" s="34"/>
      <c r="AD33" s="34"/>
      <c r="AE33" s="34"/>
      <c r="AF33" s="34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45"/>
    </row>
    <row r="34" spans="1:45" ht="11.25" customHeight="1">
      <c r="A34" s="482">
        <v>2001</v>
      </c>
      <c r="B34" s="68">
        <v>0</v>
      </c>
      <c r="C34" s="68">
        <v>3.7999999999999999E-2</v>
      </c>
      <c r="D34" s="68">
        <v>5.8000000000000003E-2</v>
      </c>
      <c r="E34" s="68">
        <v>0.63</v>
      </c>
      <c r="F34" s="68">
        <v>7.4020000000000001</v>
      </c>
      <c r="G34" s="68">
        <v>1.9570000000000001</v>
      </c>
      <c r="H34" s="68">
        <v>2.3809999999999998</v>
      </c>
      <c r="I34" s="68">
        <v>1.143</v>
      </c>
      <c r="J34" s="68">
        <v>1.006</v>
      </c>
      <c r="K34" s="68">
        <v>0.35</v>
      </c>
      <c r="L34" s="68">
        <v>0.16800000000000001</v>
      </c>
      <c r="M34" s="451">
        <v>3.5999999999999997E-2</v>
      </c>
      <c r="N34" s="63">
        <f t="shared" si="4"/>
        <v>15169000</v>
      </c>
      <c r="O34" s="41"/>
      <c r="P34" s="482">
        <v>2001</v>
      </c>
      <c r="Q34" s="516">
        <v>164.84375</v>
      </c>
      <c r="R34" s="64">
        <v>208.08281573498965</v>
      </c>
      <c r="S34" s="64">
        <v>248.11553784860558</v>
      </c>
      <c r="T34" s="64">
        <v>312.02892561983469</v>
      </c>
      <c r="U34" s="64">
        <v>357.60477001703578</v>
      </c>
      <c r="V34" s="64">
        <v>383.63157894736844</v>
      </c>
      <c r="W34" s="64">
        <v>412.13386727688788</v>
      </c>
      <c r="X34" s="64">
        <v>430.50984682713346</v>
      </c>
      <c r="Y34" s="64">
        <v>451.78125</v>
      </c>
      <c r="Z34" s="64">
        <v>470.24848484848485</v>
      </c>
      <c r="AA34" s="64">
        <v>489.12820512820514</v>
      </c>
      <c r="AB34" s="65">
        <v>508.95</v>
      </c>
      <c r="AC34" s="7"/>
      <c r="AD34" s="34"/>
      <c r="AE34" s="34"/>
      <c r="AF34" s="34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45"/>
    </row>
    <row r="35" spans="1:45" ht="11.25" customHeight="1">
      <c r="A35" s="482">
        <v>2002</v>
      </c>
      <c r="B35" s="68">
        <v>0</v>
      </c>
      <c r="C35" s="68">
        <v>0.09</v>
      </c>
      <c r="D35" s="68">
        <v>0.71799999999999997</v>
      </c>
      <c r="E35" s="68">
        <v>0.68600000000000005</v>
      </c>
      <c r="F35" s="68">
        <v>1.6040000000000001</v>
      </c>
      <c r="G35" s="68">
        <v>4.3380000000000001</v>
      </c>
      <c r="H35" s="68">
        <v>1.8069999999999999</v>
      </c>
      <c r="I35" s="68">
        <v>1.2070000000000001</v>
      </c>
      <c r="J35" s="68">
        <v>0.70399999999999996</v>
      </c>
      <c r="K35" s="68">
        <v>0.28999999999999998</v>
      </c>
      <c r="L35" s="68">
        <v>0.29699999999999999</v>
      </c>
      <c r="M35" s="451">
        <v>7.0000000000000007E-2</v>
      </c>
      <c r="N35" s="63">
        <f t="shared" si="4"/>
        <v>11811000.000000002</v>
      </c>
      <c r="O35" s="41"/>
      <c r="P35" s="53">
        <v>2002</v>
      </c>
      <c r="Q35" s="516">
        <v>173.09195402298852</v>
      </c>
      <c r="R35" s="64">
        <v>208.74957888826501</v>
      </c>
      <c r="S35" s="64">
        <v>259.27477203647419</v>
      </c>
      <c r="T35" s="64">
        <v>308.76315789473682</v>
      </c>
      <c r="U35" s="64">
        <v>364.78468899521533</v>
      </c>
      <c r="V35" s="64">
        <v>409.52499999999998</v>
      </c>
      <c r="W35" s="64">
        <v>432.15486725663715</v>
      </c>
      <c r="X35" s="64">
        <v>453.06779661016947</v>
      </c>
      <c r="Y35" s="64">
        <v>468.37903225806451</v>
      </c>
      <c r="Z35" s="64">
        <v>480.76056338028167</v>
      </c>
      <c r="AA35" s="64">
        <v>496.21568627450978</v>
      </c>
      <c r="AB35" s="65">
        <v>506.73913043478262</v>
      </c>
      <c r="AC35" s="69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"/>
      <c r="AP35" s="7"/>
      <c r="AQ35" s="7"/>
      <c r="AR35" s="7"/>
      <c r="AS35" s="45"/>
    </row>
    <row r="36" spans="1:45" ht="11.25" customHeight="1">
      <c r="A36" s="482">
        <v>2003</v>
      </c>
      <c r="B36" s="68">
        <v>0</v>
      </c>
      <c r="C36" s="68">
        <v>3.2000000000000001E-2</v>
      </c>
      <c r="D36" s="68">
        <v>1.4419999999999999</v>
      </c>
      <c r="E36" s="68">
        <v>4.6539999999999999</v>
      </c>
      <c r="F36" s="68">
        <v>1.5449999999999999</v>
      </c>
      <c r="G36" s="68">
        <v>1.774</v>
      </c>
      <c r="H36" s="68">
        <v>2.6320000000000001</v>
      </c>
      <c r="I36" s="68">
        <v>1.016</v>
      </c>
      <c r="J36" s="68">
        <v>0.76800000000000002</v>
      </c>
      <c r="K36" s="68">
        <v>0.49199999999999999</v>
      </c>
      <c r="L36" s="68">
        <v>0.16</v>
      </c>
      <c r="M36" s="451">
        <v>0.11799999999999999</v>
      </c>
      <c r="N36" s="63">
        <f t="shared" si="4"/>
        <v>14633000</v>
      </c>
      <c r="O36" s="41"/>
      <c r="P36" s="53">
        <v>2003</v>
      </c>
      <c r="Q36" s="516">
        <v>196</v>
      </c>
      <c r="R36" s="64">
        <v>226.16666666666666</v>
      </c>
      <c r="S36" s="64">
        <v>272.38357487922707</v>
      </c>
      <c r="T36" s="64">
        <v>320.50369375419746</v>
      </c>
      <c r="U36" s="64">
        <v>372.69747899159665</v>
      </c>
      <c r="V36" s="64">
        <v>429.06006006006004</v>
      </c>
      <c r="W36" s="64">
        <v>465.74041811846689</v>
      </c>
      <c r="X36" s="64">
        <v>490.73180076628353</v>
      </c>
      <c r="Y36" s="64">
        <v>508.46007604562737</v>
      </c>
      <c r="Z36" s="64">
        <v>526.00568181818187</v>
      </c>
      <c r="AA36" s="64">
        <v>532.33333333333337</v>
      </c>
      <c r="AB36" s="65">
        <v>547.39325842696633</v>
      </c>
      <c r="AC36" s="7"/>
      <c r="AD36" s="34"/>
      <c r="AE36" s="34"/>
      <c r="AF36" s="34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45"/>
    </row>
    <row r="37" spans="1:45" ht="11.25" customHeight="1">
      <c r="A37" s="482">
        <v>2004</v>
      </c>
      <c r="B37" s="68">
        <v>0</v>
      </c>
      <c r="C37" s="68">
        <v>0</v>
      </c>
      <c r="D37" s="68">
        <v>0.104</v>
      </c>
      <c r="E37" s="68">
        <v>1.419</v>
      </c>
      <c r="F37" s="68">
        <v>2.8839999999999999</v>
      </c>
      <c r="G37" s="68">
        <v>1.391</v>
      </c>
      <c r="H37" s="68">
        <v>1.887</v>
      </c>
      <c r="I37" s="68">
        <v>1.018</v>
      </c>
      <c r="J37" s="68">
        <v>1.175</v>
      </c>
      <c r="K37" s="68">
        <v>0.36299999999999999</v>
      </c>
      <c r="L37" s="68">
        <v>0.23</v>
      </c>
      <c r="M37" s="451">
        <v>0.16</v>
      </c>
      <c r="N37" s="63">
        <f t="shared" si="4"/>
        <v>10631000.000000002</v>
      </c>
      <c r="O37" s="41"/>
      <c r="P37" s="53">
        <v>2004</v>
      </c>
      <c r="Q37" s="610">
        <v>163.5</v>
      </c>
      <c r="R37" s="611">
        <v>238.54545454545453</v>
      </c>
      <c r="S37" s="611">
        <v>273.06703910614527</v>
      </c>
      <c r="T37" s="611">
        <v>303.6816425120773</v>
      </c>
      <c r="U37" s="611">
        <v>352.28487394957983</v>
      </c>
      <c r="V37" s="611">
        <v>394.84302325581393</v>
      </c>
      <c r="W37" s="611">
        <v>447.28744939271257</v>
      </c>
      <c r="X37" s="611">
        <v>479.18518518518516</v>
      </c>
      <c r="Y37" s="611">
        <v>493.61290322580646</v>
      </c>
      <c r="Z37" s="611">
        <v>504.00961538461536</v>
      </c>
      <c r="AA37" s="611">
        <v>508.59183673469386</v>
      </c>
      <c r="AB37" s="612">
        <v>531.75</v>
      </c>
      <c r="AC37" s="7"/>
      <c r="AD37" s="34"/>
      <c r="AE37" s="34"/>
      <c r="AF37" s="34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45"/>
    </row>
    <row r="38" spans="1:45" ht="11.25" customHeight="1">
      <c r="A38" s="482">
        <v>2005</v>
      </c>
      <c r="B38" s="68">
        <v>0</v>
      </c>
      <c r="C38" s="68">
        <v>0</v>
      </c>
      <c r="D38" s="68">
        <v>3.7222168494373729E-2</v>
      </c>
      <c r="E38" s="68">
        <v>0.97584282257243748</v>
      </c>
      <c r="F38" s="68">
        <v>4.9797602219115751</v>
      </c>
      <c r="G38" s="68">
        <v>4.3121515480209327</v>
      </c>
      <c r="H38" s="68">
        <v>1.0796933602272945</v>
      </c>
      <c r="I38" s="68">
        <v>0.8434458085655403</v>
      </c>
      <c r="J38" s="68">
        <v>0.51020520863587993</v>
      </c>
      <c r="K38" s="68">
        <v>0.25985537547044668</v>
      </c>
      <c r="L38" s="68">
        <v>0.11795713811523478</v>
      </c>
      <c r="M38" s="68">
        <v>0.1615002913065004</v>
      </c>
      <c r="N38" s="595">
        <f t="shared" si="4"/>
        <v>13277633.943320218</v>
      </c>
      <c r="O38" s="41"/>
      <c r="P38" s="53">
        <v>2005</v>
      </c>
      <c r="Q38" s="610">
        <v>188.5</v>
      </c>
      <c r="R38" s="611">
        <v>225</v>
      </c>
      <c r="S38" s="611">
        <v>286.77777777777777</v>
      </c>
      <c r="T38" s="611">
        <v>304.88742964352718</v>
      </c>
      <c r="U38" s="611">
        <v>340.4741758241758</v>
      </c>
      <c r="V38" s="611">
        <v>380.19926199261994</v>
      </c>
      <c r="W38" s="611">
        <v>420.58108108108109</v>
      </c>
      <c r="X38" s="611">
        <v>455.78095238095239</v>
      </c>
      <c r="Y38" s="611">
        <v>476.34920634920633</v>
      </c>
      <c r="Z38" s="611">
        <v>472.4</v>
      </c>
      <c r="AA38" s="611">
        <v>492.43396226415092</v>
      </c>
      <c r="AB38" s="612">
        <v>500.3488372093023</v>
      </c>
      <c r="AC38" s="7"/>
      <c r="AD38" s="34"/>
      <c r="AE38" s="34"/>
      <c r="AF38" s="34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45"/>
    </row>
    <row r="39" spans="1:45" ht="11.25" customHeight="1">
      <c r="A39" s="592">
        <v>2006</v>
      </c>
      <c r="B39" s="68">
        <v>0.68393347717342512</v>
      </c>
      <c r="C39" s="68">
        <v>1.4533586389935282</v>
      </c>
      <c r="D39" s="68">
        <v>0.35280979919018124</v>
      </c>
      <c r="E39" s="68">
        <v>0.81205638073499897</v>
      </c>
      <c r="F39" s="68">
        <v>5.2251726699389405</v>
      </c>
      <c r="G39" s="68">
        <v>4.9211617624563635</v>
      </c>
      <c r="H39" s="68">
        <v>2.1996402189475015</v>
      </c>
      <c r="I39" s="68">
        <v>0.24120020069746823</v>
      </c>
      <c r="J39" s="68">
        <v>0.57726744800190199</v>
      </c>
      <c r="K39" s="68">
        <v>0.14560647894630041</v>
      </c>
      <c r="L39" s="68">
        <v>0.12097061209822364</v>
      </c>
      <c r="M39" s="68">
        <v>8.48E-2</v>
      </c>
      <c r="N39" s="515">
        <f>SUM(B39:M39)*1000000</f>
        <v>16817977.687178835</v>
      </c>
      <c r="O39" s="41"/>
      <c r="P39" s="482">
        <v>2006</v>
      </c>
      <c r="Q39" s="516">
        <v>186.22222222222223</v>
      </c>
      <c r="R39" s="64">
        <v>242.18430034129693</v>
      </c>
      <c r="S39" s="64">
        <v>283.12446351931328</v>
      </c>
      <c r="T39" s="64">
        <v>344.02415458937196</v>
      </c>
      <c r="U39" s="64">
        <v>381.05583250249254</v>
      </c>
      <c r="V39" s="64">
        <v>417.71333964049194</v>
      </c>
      <c r="W39" s="64">
        <v>475.53583617747438</v>
      </c>
      <c r="X39" s="64">
        <v>508.86956521739131</v>
      </c>
      <c r="Y39" s="64">
        <v>541.06010928961746</v>
      </c>
      <c r="Z39" s="64">
        <v>562.5</v>
      </c>
      <c r="AA39" s="64">
        <v>549.82456140350882</v>
      </c>
      <c r="AB39" s="65">
        <v>539.82352941176475</v>
      </c>
      <c r="AD39" s="71"/>
      <c r="AE39" s="34"/>
      <c r="AF39" s="34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45"/>
    </row>
    <row r="40" spans="1:45" ht="11.25" customHeight="1">
      <c r="A40" s="592">
        <v>2007</v>
      </c>
      <c r="B40" s="68">
        <v>0</v>
      </c>
      <c r="C40" s="68">
        <v>0</v>
      </c>
      <c r="D40" s="68">
        <v>0.21803960963779564</v>
      </c>
      <c r="E40" s="68">
        <v>0.21803960963779567</v>
      </c>
      <c r="F40" s="68">
        <v>0.77525194537882902</v>
      </c>
      <c r="G40" s="68">
        <v>2.8587415485844323</v>
      </c>
      <c r="H40" s="68">
        <v>3.2948207678600236</v>
      </c>
      <c r="I40" s="68">
        <v>0.50875908915485657</v>
      </c>
      <c r="J40" s="68">
        <v>0.33917272610323762</v>
      </c>
      <c r="K40" s="68">
        <v>2.4226623293088403E-2</v>
      </c>
      <c r="L40" s="68">
        <v>7.2679869879265224E-2</v>
      </c>
      <c r="M40" s="68">
        <v>2.4226623293088407E-2</v>
      </c>
      <c r="N40" s="515">
        <f>SUM(B40:M40)*1000000</f>
        <v>8333958.4128224133</v>
      </c>
      <c r="O40" s="41"/>
      <c r="P40" s="53">
        <v>2007</v>
      </c>
      <c r="Q40" s="613">
        <v>179.5625</v>
      </c>
      <c r="R40" s="614">
        <v>237.61111111111111</v>
      </c>
      <c r="S40" s="614">
        <v>296.57323232323233</v>
      </c>
      <c r="T40" s="614">
        <v>331.50793650793651</v>
      </c>
      <c r="U40" s="614">
        <v>385.22651933701655</v>
      </c>
      <c r="V40" s="614">
        <v>415.17424242424244</v>
      </c>
      <c r="W40" s="614">
        <v>458.96954314720813</v>
      </c>
      <c r="X40" s="614">
        <v>495.81818181818181</v>
      </c>
      <c r="Y40" s="614">
        <v>533.36842105263156</v>
      </c>
      <c r="Z40" s="614">
        <v>551.72727272727275</v>
      </c>
      <c r="AA40" s="614">
        <v>566</v>
      </c>
      <c r="AB40" s="65">
        <v>567</v>
      </c>
      <c r="AD40" s="71"/>
      <c r="AE40" s="34"/>
      <c r="AF40" s="34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45"/>
    </row>
    <row r="41" spans="1:45" ht="11.25" customHeight="1">
      <c r="A41" s="592">
        <v>2008</v>
      </c>
      <c r="B41" s="68">
        <v>0</v>
      </c>
      <c r="C41" s="68">
        <v>6.0752445636181943E-2</v>
      </c>
      <c r="D41" s="68">
        <v>1.0241490271964357</v>
      </c>
      <c r="E41" s="68">
        <v>1.5949108262657645</v>
      </c>
      <c r="F41" s="68">
        <v>1.2723169905337719</v>
      </c>
      <c r="G41" s="68">
        <v>1.6608214526945544</v>
      </c>
      <c r="H41" s="68">
        <v>2.3546346533500153</v>
      </c>
      <c r="I41" s="68">
        <v>2.1274907603816242</v>
      </c>
      <c r="J41" s="68">
        <v>0.52303682768752779</v>
      </c>
      <c r="K41" s="68">
        <v>8.6807394144944303E-2</v>
      </c>
      <c r="L41" s="68">
        <v>0.10344653887816521</v>
      </c>
      <c r="M41" s="68">
        <v>1.6639144733220913E-2</v>
      </c>
      <c r="N41" s="515">
        <v>10825006.061502205</v>
      </c>
      <c r="O41" s="41"/>
      <c r="P41" s="482">
        <v>2008</v>
      </c>
      <c r="Q41" s="615">
        <v>178.724770642202</v>
      </c>
      <c r="R41" s="616">
        <v>233.59579078520409</v>
      </c>
      <c r="S41" s="616">
        <v>291.71352074966535</v>
      </c>
      <c r="T41" s="616">
        <v>326.15346155410253</v>
      </c>
      <c r="U41" s="616">
        <v>356.9336870026525</v>
      </c>
      <c r="V41" s="616">
        <v>402.96686931945288</v>
      </c>
      <c r="W41" s="616">
        <v>428.99905838041434</v>
      </c>
      <c r="X41" s="616">
        <v>449.02090301003346</v>
      </c>
      <c r="Y41" s="616">
        <v>470.32894736842104</v>
      </c>
      <c r="Z41" s="616">
        <v>494.64393939393938</v>
      </c>
      <c r="AA41" s="616">
        <v>485.77777777777777</v>
      </c>
      <c r="AB41" s="617">
        <v>534.9375</v>
      </c>
      <c r="AD41" s="71"/>
      <c r="AE41" s="34"/>
      <c r="AF41" s="34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45"/>
    </row>
    <row r="42" spans="1:45" ht="11.25" customHeight="1">
      <c r="A42" s="592">
        <v>2009</v>
      </c>
      <c r="B42" s="68">
        <v>0</v>
      </c>
      <c r="C42" s="68">
        <v>3.1381239795064124E-2</v>
      </c>
      <c r="D42" s="68">
        <v>0.22847923697760522</v>
      </c>
      <c r="E42" s="68">
        <v>0.94653557884513373</v>
      </c>
      <c r="F42" s="68">
        <v>1.6709276968455211</v>
      </c>
      <c r="G42" s="68">
        <v>1.2153441019343645</v>
      </c>
      <c r="H42" s="68">
        <v>1.184100350043706</v>
      </c>
      <c r="I42" s="68">
        <v>1.2686085835903096</v>
      </c>
      <c r="J42" s="68">
        <v>1.291316752877623</v>
      </c>
      <c r="K42" s="68">
        <v>0.52013341725855478</v>
      </c>
      <c r="L42" s="68">
        <v>0.21843128742580006</v>
      </c>
      <c r="M42" s="68">
        <v>0.19751046089575736</v>
      </c>
      <c r="N42" s="515">
        <f t="shared" ref="N42:N50" si="5">SUM(B42:M42)*1000000</f>
        <v>8772768.7064894382</v>
      </c>
      <c r="O42" s="41"/>
      <c r="P42" s="53">
        <v>2009</v>
      </c>
      <c r="Q42" s="517">
        <v>157</v>
      </c>
      <c r="R42" s="518">
        <v>212</v>
      </c>
      <c r="S42" s="518">
        <v>280</v>
      </c>
      <c r="T42" s="518">
        <v>336</v>
      </c>
      <c r="U42" s="518">
        <v>373</v>
      </c>
      <c r="V42" s="518">
        <v>405</v>
      </c>
      <c r="W42" s="518">
        <v>453</v>
      </c>
      <c r="X42" s="518">
        <v>476</v>
      </c>
      <c r="Y42" s="518">
        <v>495</v>
      </c>
      <c r="Z42" s="518">
        <v>498</v>
      </c>
      <c r="AA42" s="518">
        <v>543</v>
      </c>
      <c r="AB42" s="519">
        <v>547</v>
      </c>
      <c r="AC42" s="72"/>
      <c r="AD42" s="71"/>
      <c r="AE42" s="34"/>
      <c r="AF42" s="34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45"/>
    </row>
    <row r="43" spans="1:45" ht="11.25" customHeight="1">
      <c r="A43" s="592">
        <v>2010</v>
      </c>
      <c r="B43" s="465">
        <v>6.6185943069200448E-2</v>
      </c>
      <c r="C43" s="465">
        <v>0.62737026055764977</v>
      </c>
      <c r="D43" s="465">
        <v>1.3269144603962963</v>
      </c>
      <c r="E43" s="465">
        <v>3.7863147485149078</v>
      </c>
      <c r="F43" s="465">
        <v>4.1166036649855551</v>
      </c>
      <c r="G43" s="465">
        <v>2.7351948506621615</v>
      </c>
      <c r="H43" s="465">
        <v>1.509129503584109</v>
      </c>
      <c r="I43" s="465">
        <v>1.2178069540108136</v>
      </c>
      <c r="J43" s="465">
        <v>0.90386082355995534</v>
      </c>
      <c r="K43" s="465">
        <v>0.4677787982474006</v>
      </c>
      <c r="L43" s="465">
        <v>0.14574827484399214</v>
      </c>
      <c r="M43" s="465">
        <v>7.4999999999999997E-2</v>
      </c>
      <c r="N43" s="515">
        <f t="shared" si="5"/>
        <v>16977908.282432038</v>
      </c>
      <c r="O43" s="41"/>
      <c r="P43" s="53">
        <v>2010</v>
      </c>
      <c r="Q43" s="520">
        <v>190.20610687022901</v>
      </c>
      <c r="R43" s="521">
        <v>217.689522342065</v>
      </c>
      <c r="S43" s="521">
        <v>277.65477214101497</v>
      </c>
      <c r="T43" s="521">
        <v>338.52462380301</v>
      </c>
      <c r="U43" s="521">
        <v>391.359497645212</v>
      </c>
      <c r="V43" s="521">
        <v>424.77263374485602</v>
      </c>
      <c r="W43" s="521">
        <v>474.55937499999999</v>
      </c>
      <c r="X43" s="521">
        <v>497.30888030888002</v>
      </c>
      <c r="Y43" s="521">
        <v>513.94912280701703</v>
      </c>
      <c r="Z43" s="521">
        <v>521.19083969465601</v>
      </c>
      <c r="AA43" s="521">
        <v>550.09375</v>
      </c>
      <c r="AB43" s="65">
        <v>552.16669999999999</v>
      </c>
      <c r="AD43" s="71"/>
      <c r="AE43" s="34"/>
      <c r="AF43" s="34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45"/>
    </row>
    <row r="44" spans="1:45" ht="11.25" customHeight="1">
      <c r="A44" s="592">
        <v>2011</v>
      </c>
      <c r="B44" s="465">
        <v>8.9999999999999993E-3</v>
      </c>
      <c r="C44" s="465">
        <v>5.7000000000000002E-2</v>
      </c>
      <c r="D44" s="465">
        <v>0.433</v>
      </c>
      <c r="E44" s="465">
        <v>1.2210000000000001</v>
      </c>
      <c r="F44" s="465">
        <v>1.8620000000000001</v>
      </c>
      <c r="G44" s="465">
        <v>1.5569999999999999</v>
      </c>
      <c r="H44" s="465">
        <v>1.03</v>
      </c>
      <c r="I44" s="465">
        <v>0.68600000000000005</v>
      </c>
      <c r="J44" s="465">
        <v>0.501</v>
      </c>
      <c r="K44" s="465">
        <v>0.193</v>
      </c>
      <c r="L44" s="465">
        <v>5.8999999999999997E-2</v>
      </c>
      <c r="M44" s="465">
        <v>1.0999999999999999E-2</v>
      </c>
      <c r="N44" s="515">
        <f t="shared" si="5"/>
        <v>7619000.0000000009</v>
      </c>
      <c r="O44" s="41"/>
      <c r="P44" s="482">
        <v>2011</v>
      </c>
      <c r="Q44" s="521">
        <v>203</v>
      </c>
      <c r="R44" s="521">
        <v>237</v>
      </c>
      <c r="S44" s="521">
        <v>261</v>
      </c>
      <c r="T44" s="521">
        <v>313</v>
      </c>
      <c r="U44" s="521">
        <v>369</v>
      </c>
      <c r="V44" s="521">
        <v>416</v>
      </c>
      <c r="W44" s="521">
        <v>445</v>
      </c>
      <c r="X44" s="521">
        <v>477</v>
      </c>
      <c r="Y44" s="521">
        <v>506</v>
      </c>
      <c r="Z44" s="521">
        <v>505</v>
      </c>
      <c r="AA44" s="521">
        <v>497</v>
      </c>
      <c r="AB44" s="65">
        <v>542</v>
      </c>
      <c r="AD44" s="71"/>
      <c r="AE44" s="34"/>
      <c r="AF44" s="34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45"/>
    </row>
    <row r="45" spans="1:45" ht="11.25" customHeight="1">
      <c r="A45" s="593">
        <v>2012</v>
      </c>
      <c r="B45" s="594">
        <v>4.1272189633596258E-3</v>
      </c>
      <c r="C45" s="594">
        <v>0.11428605223039173</v>
      </c>
      <c r="D45" s="594">
        <v>0.52757069240061361</v>
      </c>
      <c r="E45" s="594">
        <v>1.6905871689555001</v>
      </c>
      <c r="F45" s="594">
        <v>2.2055746532013374</v>
      </c>
      <c r="G45" s="594">
        <v>1.7927776587325384</v>
      </c>
      <c r="H45" s="594">
        <v>1.1612675803089842</v>
      </c>
      <c r="I45" s="594">
        <v>0.74829141468717675</v>
      </c>
      <c r="J45" s="594">
        <v>0.39663145065018945</v>
      </c>
      <c r="K45" s="594">
        <v>0.17439824086883632</v>
      </c>
      <c r="L45" s="594">
        <v>4.8322614613940044E-2</v>
      </c>
      <c r="M45" s="594">
        <v>1.7048740136937295E-2</v>
      </c>
      <c r="N45" s="515">
        <f t="shared" si="5"/>
        <v>8880883.4857498053</v>
      </c>
      <c r="P45" s="53">
        <v>2012</v>
      </c>
      <c r="Q45" s="522">
        <v>206.8125</v>
      </c>
      <c r="R45" s="522">
        <v>228.76043956044001</v>
      </c>
      <c r="S45" s="522">
        <v>269.17640692640703</v>
      </c>
      <c r="T45" s="522">
        <v>293.75625363583498</v>
      </c>
      <c r="U45" s="522">
        <v>337.86258503401399</v>
      </c>
      <c r="V45" s="522">
        <v>376.96100278551501</v>
      </c>
      <c r="W45" s="522">
        <v>420.3</v>
      </c>
      <c r="X45" s="522">
        <v>424.51428571428602</v>
      </c>
      <c r="Y45" s="522">
        <v>462.30769230769198</v>
      </c>
      <c r="Z45" s="522">
        <v>514.64864864864899</v>
      </c>
      <c r="AA45" s="522">
        <v>540.71428571428601</v>
      </c>
      <c r="AB45" s="523">
        <v>467.8</v>
      </c>
    </row>
    <row r="46" spans="1:45" ht="11.25" customHeight="1">
      <c r="A46" s="592">
        <v>2013</v>
      </c>
      <c r="B46" s="609">
        <v>6.5979053140510502E-3</v>
      </c>
      <c r="C46" s="609">
        <v>0.10987756147669393</v>
      </c>
      <c r="D46" s="609">
        <v>0.68638911173461215</v>
      </c>
      <c r="E46" s="609">
        <v>3.2786158893653155</v>
      </c>
      <c r="F46" s="609">
        <v>5.0316350035732045</v>
      </c>
      <c r="G46" s="609">
        <v>3.3473974646726536</v>
      </c>
      <c r="H46" s="609">
        <v>2.5008621763402332</v>
      </c>
      <c r="I46" s="609">
        <v>1.4086248888026416</v>
      </c>
      <c r="J46" s="609">
        <v>0.50392748737315163</v>
      </c>
      <c r="K46" s="609">
        <v>0.50309043380620211</v>
      </c>
      <c r="L46" s="609">
        <v>0.1840337415833688</v>
      </c>
      <c r="M46" s="609">
        <v>6.9740171706092841E-2</v>
      </c>
      <c r="N46" s="515">
        <f t="shared" si="5"/>
        <v>17630791.835748222</v>
      </c>
      <c r="P46" s="53">
        <v>2013</v>
      </c>
      <c r="Q46" s="598">
        <v>273.09090909090901</v>
      </c>
      <c r="R46" s="598">
        <v>284.23200000000003</v>
      </c>
      <c r="S46" s="598">
        <v>296.43141153081501</v>
      </c>
      <c r="T46" s="598">
        <v>329.64197530864197</v>
      </c>
      <c r="U46" s="598">
        <v>356.99015586546398</v>
      </c>
      <c r="V46" s="598">
        <v>397.020952380952</v>
      </c>
      <c r="W46" s="598">
        <v>443.75285171102701</v>
      </c>
      <c r="X46" s="598">
        <v>476.58730158730202</v>
      </c>
      <c r="Y46" s="598">
        <v>518.21052631578902</v>
      </c>
      <c r="Z46" s="598">
        <v>524.73749999999995</v>
      </c>
      <c r="AA46" s="598">
        <v>537.95000000000005</v>
      </c>
      <c r="AB46" s="608">
        <v>478.3</v>
      </c>
      <c r="AC46" s="72"/>
    </row>
    <row r="47" spans="1:45" s="493" customFormat="1" ht="11.25" customHeight="1">
      <c r="A47" s="34">
        <v>2014</v>
      </c>
      <c r="B47" s="662">
        <v>8.6781018234293239E-2</v>
      </c>
      <c r="C47" s="662">
        <v>0.48539836482410476</v>
      </c>
      <c r="D47" s="662">
        <v>1.4626918490500846</v>
      </c>
      <c r="E47" s="662">
        <v>2.9701843079480166</v>
      </c>
      <c r="F47" s="662">
        <v>4.8190551769795347</v>
      </c>
      <c r="G47" s="662">
        <v>2.5097013324822286</v>
      </c>
      <c r="H47" s="662">
        <v>0.970600820421189</v>
      </c>
      <c r="I47" s="662">
        <v>0.36180258340167926</v>
      </c>
      <c r="J47" s="662">
        <v>6.7551668399100345E-2</v>
      </c>
      <c r="K47" s="662">
        <v>4.2930547689828132E-2</v>
      </c>
      <c r="L47" s="662">
        <v>0</v>
      </c>
      <c r="M47" s="662">
        <v>0</v>
      </c>
      <c r="N47" s="476">
        <f t="shared" si="5"/>
        <v>13776697.66943006</v>
      </c>
      <c r="P47" s="53">
        <v>2014</v>
      </c>
      <c r="Q47" s="607">
        <v>234.30303030303</v>
      </c>
      <c r="R47" s="607">
        <v>247.52</v>
      </c>
      <c r="S47" s="607">
        <v>310.93837535014001</v>
      </c>
      <c r="T47" s="607">
        <v>331.100490196078</v>
      </c>
      <c r="U47" s="607">
        <v>366.95642201834897</v>
      </c>
      <c r="V47" s="607">
        <v>384.44991212653798</v>
      </c>
      <c r="W47" s="607">
        <v>442.652777777778</v>
      </c>
      <c r="X47" s="607">
        <v>508.22580645161298</v>
      </c>
      <c r="Y47" s="607">
        <v>514.76470588235304</v>
      </c>
      <c r="Z47" s="607">
        <v>552.95454545454504</v>
      </c>
      <c r="AA47" s="607">
        <v>559</v>
      </c>
      <c r="AB47" s="608">
        <v>599.79999999999995</v>
      </c>
      <c r="AC47" s="72"/>
      <c r="AD47" s="494"/>
      <c r="AE47" s="494"/>
    </row>
    <row r="48" spans="1:45" s="493" customFormat="1" ht="11.25" customHeight="1">
      <c r="A48" s="592">
        <v>2015</v>
      </c>
      <c r="B48" s="465">
        <v>5.6643877147643058E-3</v>
      </c>
      <c r="C48" s="465">
        <v>7.4964756432511076E-2</v>
      </c>
      <c r="D48" s="465">
        <v>0.27733035239985587</v>
      </c>
      <c r="E48" s="465">
        <v>0.36032920310656641</v>
      </c>
      <c r="F48" s="465">
        <v>0.63316159635286617</v>
      </c>
      <c r="G48" s="465">
        <v>0.58736282963410869</v>
      </c>
      <c r="H48" s="465">
        <v>0.494948021426873</v>
      </c>
      <c r="I48" s="465">
        <v>0.14744763208012168</v>
      </c>
      <c r="J48" s="465">
        <v>3.0197574880369872E-2</v>
      </c>
      <c r="K48" s="465">
        <v>1.5422903782952828E-2</v>
      </c>
      <c r="L48" s="465">
        <v>3.9967987667233109E-3</v>
      </c>
      <c r="M48" s="465">
        <v>0</v>
      </c>
      <c r="N48" s="476">
        <f t="shared" si="5"/>
        <v>2630826.0565777137</v>
      </c>
      <c r="P48" s="34">
        <v>2015</v>
      </c>
      <c r="Q48" s="64">
        <v>220.27118644067801</v>
      </c>
      <c r="R48" s="64">
        <v>257.69064748201401</v>
      </c>
      <c r="S48" s="64">
        <v>298.261848341232</v>
      </c>
      <c r="T48" s="64">
        <v>350.814641744548</v>
      </c>
      <c r="U48" s="64">
        <v>383.752427184466</v>
      </c>
      <c r="V48" s="64">
        <v>405.90108892922001</v>
      </c>
      <c r="W48" s="64">
        <v>418.50680272108798</v>
      </c>
      <c r="X48" s="64">
        <v>454.466135458167</v>
      </c>
      <c r="Y48" s="64">
        <v>477.792682926829</v>
      </c>
      <c r="Z48" s="64">
        <v>503.16666666666703</v>
      </c>
      <c r="AA48" s="64">
        <v>620.75</v>
      </c>
      <c r="AB48" s="64">
        <v>521.5</v>
      </c>
      <c r="AC48" s="72"/>
      <c r="AD48" s="494"/>
      <c r="AE48" s="494"/>
    </row>
    <row r="49" spans="1:49" s="493" customFormat="1">
      <c r="A49" s="34">
        <v>2016</v>
      </c>
      <c r="B49" s="729">
        <f>[3]Sheet1!$P$11/1000</f>
        <v>3.4378259727437823E-4</v>
      </c>
      <c r="C49" s="729">
        <f>[3]Sheet1!$P$12/1000</f>
        <v>3.0759764777882458E-3</v>
      </c>
      <c r="D49" s="729">
        <f>[3]Sheet1!$P$13/1000</f>
        <v>1.2029098251033396E-2</v>
      </c>
      <c r="E49" s="729">
        <f>[3]Sheet1!$P$14/1000</f>
        <v>2.9813265473872304E-2</v>
      </c>
      <c r="F49" s="729">
        <f>[3]Sheet1!$P$15/1000</f>
        <v>4.7818126117651467E-2</v>
      </c>
      <c r="G49" s="729">
        <f>[3]Sheet1!$P$16/1000</f>
        <v>3.6442941414300149E-2</v>
      </c>
      <c r="H49" s="729">
        <f>[3]Sheet1!$P$17/1000</f>
        <v>2.5974573246100096E-2</v>
      </c>
      <c r="I49" s="729">
        <f>[3]Sheet1!$P$18/1000</f>
        <v>1.2977983883952098E-2</v>
      </c>
      <c r="J49" s="729">
        <f>[3]Sheet1!$P$19/1000</f>
        <v>4.5867975217046232E-3</v>
      </c>
      <c r="K49" s="729">
        <f>[3]Sheet1!$P$20/1000</f>
        <v>2.2413908577837345E-3</v>
      </c>
      <c r="L49" s="729">
        <f>[3]Sheet1!$P$21/1000</f>
        <v>7.2656946627912636E-4</v>
      </c>
      <c r="M49" s="729">
        <f>[3]Sheet1!$P$22/1000</f>
        <v>2.879132051063304E-4</v>
      </c>
      <c r="N49" s="476">
        <f t="shared" si="5"/>
        <v>176318.41851284596</v>
      </c>
      <c r="P49" s="25">
        <v>2016</v>
      </c>
      <c r="Q49" s="720">
        <f>AVERAGE(Q48,Q50)</f>
        <v>206.56852004960751</v>
      </c>
      <c r="R49" s="720">
        <f t="shared" ref="R49:AB49" si="6">AVERAGE(R48,R50)</f>
        <v>257.82413730032897</v>
      </c>
      <c r="S49" s="720">
        <f t="shared" si="6"/>
        <v>303.88481825161296</v>
      </c>
      <c r="T49" s="720">
        <f t="shared" si="6"/>
        <v>345.79698136610102</v>
      </c>
      <c r="U49" s="720">
        <f t="shared" si="6"/>
        <v>372.98609731316299</v>
      </c>
      <c r="V49" s="720">
        <f t="shared" si="6"/>
        <v>401.545656749947</v>
      </c>
      <c r="W49" s="720">
        <f t="shared" si="6"/>
        <v>414.09457783113203</v>
      </c>
      <c r="X49" s="720">
        <f t="shared" si="6"/>
        <v>444.019347412461</v>
      </c>
      <c r="Y49" s="720">
        <f t="shared" si="6"/>
        <v>467.80668629100046</v>
      </c>
      <c r="Z49" s="720">
        <f t="shared" si="6"/>
        <v>486.519230769231</v>
      </c>
      <c r="AA49" s="720">
        <f t="shared" si="6"/>
        <v>550.58088235294099</v>
      </c>
      <c r="AB49" s="720">
        <f t="shared" si="6"/>
        <v>549.25</v>
      </c>
      <c r="AC49" s="72"/>
      <c r="AD49" s="494"/>
      <c r="AE49" s="494"/>
    </row>
    <row r="50" spans="1:49" s="493" customFormat="1">
      <c r="A50" s="592">
        <v>2017</v>
      </c>
      <c r="B50" s="730">
        <f>'[4]Gillnet Biomass'!$Y$18/1000</f>
        <v>1.3033448261547485E-3</v>
      </c>
      <c r="C50" s="730">
        <f>'[4]Gillnet Biomass'!$Y$19/1000</f>
        <v>1.2524800692173429E-2</v>
      </c>
      <c r="D50" s="730">
        <f>'[4]Gillnet Biomass'!$Y$20/1000</f>
        <v>8.8819670920779747E-2</v>
      </c>
      <c r="E50" s="730">
        <f>'[4]Gillnet Biomass'!$Y$21/1000</f>
        <v>0.33186589916197251</v>
      </c>
      <c r="F50" s="730">
        <f>'[4]Gillnet Biomass'!$Y$22/1000</f>
        <v>0.66001485760778</v>
      </c>
      <c r="G50" s="730">
        <f>'[4]Gillnet Biomass'!$Y$23/1000</f>
        <v>0.67274401675548312</v>
      </c>
      <c r="H50" s="730">
        <f>'[4]Gillnet Biomass'!$Y$24/1000</f>
        <v>0.58479020060302289</v>
      </c>
      <c r="I50" s="730">
        <f>'[4]Gillnet Biomass'!$Y$25/1000</f>
        <v>0.34612334983321907</v>
      </c>
      <c r="J50" s="730">
        <f>'[4]Gillnet Biomass'!$Y$26/1000</f>
        <v>0.11516020710740377</v>
      </c>
      <c r="K50" s="730">
        <f>'[4]Gillnet Biomass'!$Y$27/1000</f>
        <v>1.825105268512715E-2</v>
      </c>
      <c r="L50" s="730">
        <f>'[4]Gillnet Biomass'!$Y$28/1000</f>
        <v>9.1262305290570229E-3</v>
      </c>
      <c r="M50" s="730">
        <f>SUM('[4]Gillnet Biomass'!$Y$29:$Y$32)/1000</f>
        <v>6.5181325037606342E-3</v>
      </c>
      <c r="N50" s="476">
        <f t="shared" si="5"/>
        <v>2847241.763225934</v>
      </c>
      <c r="P50" s="34">
        <v>2017</v>
      </c>
      <c r="Q50" s="720">
        <f>'[5]2017 purse seine gillnet WAA fr'!$C$15</f>
        <v>192.86585365853699</v>
      </c>
      <c r="R50" s="720">
        <f>'[5]2017 purse seine gillnet WAA fr'!$C$16</f>
        <v>257.95762711864398</v>
      </c>
      <c r="S50" s="720">
        <f>'[5]2017 purse seine gillnet WAA fr'!$C$17</f>
        <v>309.50778816199397</v>
      </c>
      <c r="T50" s="720">
        <f>'[5]2017 purse seine gillnet WAA fr'!$C$18</f>
        <v>340.77932098765399</v>
      </c>
      <c r="U50" s="720">
        <f>'[5]2017 purse seine gillnet WAA fr'!$C$19</f>
        <v>362.21976744185997</v>
      </c>
      <c r="V50" s="720">
        <f>'[5]2017 purse seine gillnet WAA fr'!$C$20</f>
        <v>397.19022457067399</v>
      </c>
      <c r="W50" s="720">
        <f>'[5]2017 purse seine gillnet WAA fr'!$C$21</f>
        <v>409.68235294117602</v>
      </c>
      <c r="X50" s="720">
        <f>'[5]2017 purse seine gillnet WAA fr'!$C$22</f>
        <v>433.572559366755</v>
      </c>
      <c r="Y50" s="720">
        <f>'[5]2017 purse seine gillnet WAA fr'!$C$23</f>
        <v>457.82068965517198</v>
      </c>
      <c r="Z50" s="720">
        <f>'[5]2017 purse seine gillnet WAA fr'!$C$24</f>
        <v>469.87179487179498</v>
      </c>
      <c r="AA50" s="720">
        <f>'[5]2017 purse seine gillnet WAA fr'!$C$25</f>
        <v>480.41176470588198</v>
      </c>
      <c r="AB50" s="720">
        <f>('[5]2017 purse seine gillnet WAA fr'!$C$26*'[5]2017 purse seine gillnet WAA fr'!$D$26+'[5]2017 purse seine gillnet WAA fr'!$C$27*'[5]2017 purse seine gillnet WAA fr'!$D$27+'[5]2017 purse seine gillnet WAA fr'!$C$28*'[5]2017 purse seine gillnet WAA fr'!$D$28)/SUM('[5]2017 purse seine gillnet WAA fr'!$D$26:$D$28)</f>
        <v>577</v>
      </c>
      <c r="AC50" s="72"/>
      <c r="AD50" s="494"/>
      <c r="AE50" s="494"/>
    </row>
    <row r="51" spans="1:49" ht="30.75" customHeight="1">
      <c r="A51" s="73" t="s">
        <v>102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63"/>
      <c r="O51" s="41"/>
      <c r="P51" s="34"/>
      <c r="Q51" s="69"/>
      <c r="R51" s="69"/>
      <c r="S51" s="69"/>
      <c r="T51" s="69"/>
      <c r="U51" s="69"/>
      <c r="V51" s="69"/>
      <c r="W51" s="69"/>
      <c r="X51" s="69"/>
      <c r="Y51" s="70"/>
      <c r="Z51" s="70"/>
      <c r="AA51" s="70"/>
      <c r="AB51" s="70"/>
      <c r="AC51" s="72"/>
      <c r="AD51" s="71"/>
      <c r="AE51" s="34"/>
      <c r="AF51" s="34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45"/>
    </row>
    <row r="52" spans="1:49" ht="11.25" customHeight="1" thickBot="1">
      <c r="A52" s="74"/>
      <c r="B52" s="75"/>
      <c r="C52" s="75"/>
      <c r="D52" s="75" t="s">
        <v>11</v>
      </c>
      <c r="E52" s="75"/>
      <c r="F52" s="75"/>
      <c r="G52" s="76"/>
      <c r="H52" s="75" t="s">
        <v>12</v>
      </c>
      <c r="I52" s="77"/>
      <c r="J52" s="75"/>
      <c r="K52" s="75"/>
      <c r="L52" s="75"/>
      <c r="M52" s="75"/>
      <c r="N52" s="75"/>
      <c r="O52" s="75"/>
      <c r="P52" s="77"/>
      <c r="Q52" s="77"/>
      <c r="R52" s="78"/>
      <c r="S52" s="79" t="s">
        <v>13</v>
      </c>
      <c r="T52" s="80"/>
      <c r="U52" s="81"/>
      <c r="V52" s="82"/>
      <c r="W52" s="82"/>
      <c r="X52" s="82"/>
      <c r="Y52" s="82"/>
      <c r="Z52" s="82"/>
      <c r="AA52" s="75"/>
      <c r="AB52" s="75"/>
      <c r="AC52" s="83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84"/>
    </row>
    <row r="53" spans="1:49" ht="11.25" customHeight="1" thickTop="1">
      <c r="A53" s="25" t="s">
        <v>11</v>
      </c>
      <c r="B53" s="2">
        <f>1.2/100</f>
        <v>1.2E-2</v>
      </c>
      <c r="O53" s="5"/>
      <c r="P53" s="85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7"/>
      <c r="AD53" s="88" t="s">
        <v>14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84"/>
    </row>
    <row r="54" spans="1:49" ht="11.25" customHeight="1">
      <c r="A54" s="24" t="s">
        <v>15</v>
      </c>
      <c r="B54" s="19"/>
      <c r="C54" s="19"/>
      <c r="D54" s="19"/>
      <c r="E54" s="20"/>
      <c r="F54" s="20"/>
      <c r="G54" s="21" t="s">
        <v>16</v>
      </c>
      <c r="H54" s="20"/>
      <c r="I54" s="25" t="s">
        <v>104</v>
      </c>
      <c r="J54" s="5"/>
      <c r="K54" s="5"/>
      <c r="M54" s="23"/>
      <c r="N54" s="89" t="s">
        <v>18</v>
      </c>
      <c r="O54" s="32"/>
      <c r="P54" s="24" t="s">
        <v>19</v>
      </c>
      <c r="Q54" s="19"/>
      <c r="R54" s="19"/>
      <c r="S54" s="19"/>
      <c r="T54" s="19"/>
      <c r="U54" s="19"/>
      <c r="V54" s="20"/>
      <c r="W54" s="21" t="s">
        <v>16</v>
      </c>
      <c r="X54" s="20"/>
      <c r="Y54" s="5"/>
      <c r="Z54" s="5"/>
      <c r="AC54" s="88" t="s">
        <v>20</v>
      </c>
      <c r="AD54" s="90" t="s">
        <v>18</v>
      </c>
      <c r="AF54" s="91" t="s">
        <v>21</v>
      </c>
      <c r="AG54" s="19"/>
      <c r="AH54" s="19"/>
      <c r="AI54" s="19"/>
      <c r="AJ54" s="19"/>
      <c r="AK54" s="20"/>
      <c r="AL54" s="21" t="s">
        <v>16</v>
      </c>
      <c r="AM54" s="20"/>
      <c r="AN54" s="5"/>
      <c r="AO54" s="5"/>
      <c r="AP54" s="5"/>
      <c r="AR54" s="23"/>
      <c r="AS54" s="5"/>
    </row>
    <row r="55" spans="1:49" ht="11.25" customHeight="1">
      <c r="B55" s="26"/>
      <c r="C55" s="19"/>
      <c r="D55" s="19"/>
      <c r="E55" s="27" t="s">
        <v>9</v>
      </c>
      <c r="F55" s="19"/>
      <c r="G55" s="19"/>
      <c r="H55" s="19"/>
      <c r="I55" s="28"/>
      <c r="J55" s="19"/>
      <c r="K55" s="19"/>
      <c r="L55" s="19"/>
      <c r="M55" s="20"/>
      <c r="N55" s="92" t="s">
        <v>22</v>
      </c>
      <c r="O55" s="32"/>
      <c r="Q55" s="26"/>
      <c r="R55" s="19"/>
      <c r="S55" s="19"/>
      <c r="T55" s="27" t="s">
        <v>9</v>
      </c>
      <c r="U55" s="19"/>
      <c r="V55" s="19"/>
      <c r="W55" s="19"/>
      <c r="X55" s="28"/>
      <c r="Y55" s="19"/>
      <c r="Z55" s="19"/>
      <c r="AA55" s="19"/>
      <c r="AB55" s="20"/>
      <c r="AC55" s="90" t="s">
        <v>23</v>
      </c>
      <c r="AD55" s="90" t="s">
        <v>22</v>
      </c>
      <c r="AG55" s="26"/>
      <c r="AH55" s="19"/>
      <c r="AI55" s="19"/>
      <c r="AJ55" s="27" t="s">
        <v>9</v>
      </c>
      <c r="AK55" s="19"/>
      <c r="AL55" s="19"/>
      <c r="AM55" s="19"/>
      <c r="AN55" s="28"/>
      <c r="AO55" s="19"/>
      <c r="AP55" s="19"/>
      <c r="AQ55" s="19"/>
      <c r="AR55" s="93"/>
      <c r="AS55" s="5"/>
    </row>
    <row r="56" spans="1:49" ht="11.25" customHeight="1">
      <c r="A56" s="33" t="s">
        <v>10</v>
      </c>
      <c r="B56" s="31">
        <v>4</v>
      </c>
      <c r="C56" s="31">
        <f t="shared" ref="C56:L56" si="7">+B56+1</f>
        <v>5</v>
      </c>
      <c r="D56" s="31">
        <f t="shared" si="7"/>
        <v>6</v>
      </c>
      <c r="E56" s="31">
        <f t="shared" si="7"/>
        <v>7</v>
      </c>
      <c r="F56" s="31">
        <f t="shared" si="7"/>
        <v>8</v>
      </c>
      <c r="G56" s="31">
        <f t="shared" si="7"/>
        <v>9</v>
      </c>
      <c r="H56" s="31">
        <f t="shared" si="7"/>
        <v>10</v>
      </c>
      <c r="I56" s="31">
        <f t="shared" si="7"/>
        <v>11</v>
      </c>
      <c r="J56" s="31">
        <f t="shared" si="7"/>
        <v>12</v>
      </c>
      <c r="K56" s="31">
        <f t="shared" si="7"/>
        <v>13</v>
      </c>
      <c r="L56" s="31">
        <f t="shared" si="7"/>
        <v>14</v>
      </c>
      <c r="M56" s="31" t="s">
        <v>24</v>
      </c>
      <c r="N56" s="90" t="s">
        <v>25</v>
      </c>
      <c r="O56" s="32"/>
      <c r="P56" s="423" t="s">
        <v>10</v>
      </c>
      <c r="Q56" s="31">
        <f>first_age</f>
        <v>4</v>
      </c>
      <c r="R56" s="31">
        <f t="shared" ref="R56:AB56" si="8">Q56+1</f>
        <v>5</v>
      </c>
      <c r="S56" s="31">
        <f t="shared" si="8"/>
        <v>6</v>
      </c>
      <c r="T56" s="31">
        <f t="shared" si="8"/>
        <v>7</v>
      </c>
      <c r="U56" s="31">
        <f t="shared" si="8"/>
        <v>8</v>
      </c>
      <c r="V56" s="31">
        <f t="shared" si="8"/>
        <v>9</v>
      </c>
      <c r="W56" s="31">
        <f t="shared" si="8"/>
        <v>10</v>
      </c>
      <c r="X56" s="31">
        <f t="shared" si="8"/>
        <v>11</v>
      </c>
      <c r="Y56" s="31">
        <f t="shared" si="8"/>
        <v>12</v>
      </c>
      <c r="Z56" s="31">
        <f t="shared" si="8"/>
        <v>13</v>
      </c>
      <c r="AA56" s="31">
        <f t="shared" si="8"/>
        <v>14</v>
      </c>
      <c r="AB56" s="31">
        <f t="shared" si="8"/>
        <v>15</v>
      </c>
      <c r="AC56" s="90" t="s">
        <v>18</v>
      </c>
      <c r="AD56" s="94" t="s">
        <v>26</v>
      </c>
      <c r="AF56" s="423" t="s">
        <v>10</v>
      </c>
      <c r="AG56" s="89">
        <f>first_age</f>
        <v>4</v>
      </c>
      <c r="AH56" s="89">
        <f t="shared" ref="AH56:AR56" si="9">AG56+1</f>
        <v>5</v>
      </c>
      <c r="AI56" s="89">
        <f t="shared" si="9"/>
        <v>6</v>
      </c>
      <c r="AJ56" s="89">
        <f t="shared" si="9"/>
        <v>7</v>
      </c>
      <c r="AK56" s="89">
        <f t="shared" si="9"/>
        <v>8</v>
      </c>
      <c r="AL56" s="89">
        <f t="shared" si="9"/>
        <v>9</v>
      </c>
      <c r="AM56" s="89">
        <f t="shared" si="9"/>
        <v>10</v>
      </c>
      <c r="AN56" s="89">
        <f t="shared" si="9"/>
        <v>11</v>
      </c>
      <c r="AO56" s="89">
        <f t="shared" si="9"/>
        <v>12</v>
      </c>
      <c r="AP56" s="89">
        <f t="shared" si="9"/>
        <v>13</v>
      </c>
      <c r="AQ56" s="89">
        <f t="shared" si="9"/>
        <v>14</v>
      </c>
      <c r="AR56" s="89">
        <f t="shared" si="9"/>
        <v>15</v>
      </c>
      <c r="AS56" s="89" t="s">
        <v>18</v>
      </c>
      <c r="AT56" s="105" t="s">
        <v>27</v>
      </c>
    </row>
    <row r="57" spans="1:49" ht="11.25" customHeight="1">
      <c r="A57" s="37">
        <v>1978</v>
      </c>
      <c r="B57" s="524">
        <v>0.69465648854961826</v>
      </c>
      <c r="C57" s="525">
        <v>0.22476675148430869</v>
      </c>
      <c r="D57" s="525">
        <v>6.5309584393553846E-2</v>
      </c>
      <c r="E57" s="525">
        <v>5.9372349448685319E-3</v>
      </c>
      <c r="F57" s="525">
        <v>6.7854113655640364E-3</v>
      </c>
      <c r="G57" s="526">
        <v>2.5445292620865133E-3</v>
      </c>
      <c r="H57" s="525"/>
      <c r="I57" s="525"/>
      <c r="J57" s="525"/>
      <c r="K57" s="525"/>
      <c r="L57" s="525"/>
      <c r="M57" s="525"/>
      <c r="N57" s="421">
        <v>6454.8811132984374</v>
      </c>
      <c r="O57" s="98"/>
      <c r="P57" s="37">
        <f>first_year</f>
        <v>1978</v>
      </c>
      <c r="Q57" s="99">
        <f>B$271*B149/$AC57</f>
        <v>0.21108878628549926</v>
      </c>
      <c r="R57" s="100">
        <f>C$271*C149/$AC57</f>
        <v>0.43978759493109199</v>
      </c>
      <c r="S57" s="100">
        <f>D$271*D149/$AC57</f>
        <v>0.25149559144877626</v>
      </c>
      <c r="T57" s="100">
        <f>E$271*E149/$AC57</f>
        <v>5.3827787350047727E-3</v>
      </c>
      <c r="U57" s="100">
        <f>F$271*F149/$AC57</f>
        <v>3.6307555688994179E-2</v>
      </c>
      <c r="V57" s="101">
        <f>G$271*G149/$AC57</f>
        <v>5.5937692910633365E-2</v>
      </c>
      <c r="W57" s="100"/>
      <c r="X57" s="100"/>
      <c r="Y57" s="100"/>
      <c r="Z57" s="100"/>
      <c r="AA57" s="100"/>
      <c r="AB57" s="100"/>
      <c r="AC57" s="102">
        <f>SUMPRODUCT($B$271:$M$271,$B149:$M149)</f>
        <v>171.62634604827693</v>
      </c>
      <c r="AD57" s="102">
        <f t="shared" ref="AD57:AD94" si="10">$N57/SUMPRODUCT($Q57:$AB57,$Q11:$AB11)</f>
        <v>28.765056733963071</v>
      </c>
      <c r="AE57" s="103"/>
      <c r="AF57" s="543">
        <f>first_year</f>
        <v>1978</v>
      </c>
      <c r="AG57" s="546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551"/>
      <c r="AT57" s="105"/>
    </row>
    <row r="58" spans="1:49" ht="11.25" customHeight="1">
      <c r="A58" s="482">
        <f t="shared" ref="A58:A74" si="11">+A57+1</f>
        <v>1979</v>
      </c>
      <c r="B58" s="527">
        <v>0.13450723429817607</v>
      </c>
      <c r="C58" s="528">
        <v>0.49711276955029143</v>
      </c>
      <c r="D58" s="528">
        <v>0.29250271564174529</v>
      </c>
      <c r="E58" s="528">
        <v>7.1476295784462157E-2</v>
      </c>
      <c r="F58" s="528">
        <v>1.0576375241027262E-3</v>
      </c>
      <c r="G58" s="96">
        <v>3.3433472012221969E-3</v>
      </c>
      <c r="H58" s="528"/>
      <c r="I58" s="528"/>
      <c r="J58" s="528"/>
      <c r="K58" s="528"/>
      <c r="L58" s="528"/>
      <c r="M58" s="528"/>
      <c r="N58" s="97">
        <v>6291.1522167085486</v>
      </c>
      <c r="O58" s="98"/>
      <c r="P58" s="482">
        <f t="shared" ref="P58:P73" si="12">+P57+1</f>
        <v>1979</v>
      </c>
      <c r="Q58" s="106">
        <f>B$271*B150/$AC58</f>
        <v>1.110944507362728E-2</v>
      </c>
      <c r="R58" s="483">
        <f>C$271*C150/$AC58</f>
        <v>0.31716715154023928</v>
      </c>
      <c r="S58" s="483">
        <f>D$271*D150/$AC58</f>
        <v>0.4514535952329477</v>
      </c>
      <c r="T58" s="483">
        <f>E$271*E150/$AC58</f>
        <v>0.172993705628535</v>
      </c>
      <c r="U58" s="483">
        <f>F$271*F150/$AC58</f>
        <v>2.8744077605326623E-3</v>
      </c>
      <c r="V58" s="107">
        <f>G$271*G150/$AC58</f>
        <v>4.4401694764118115E-2</v>
      </c>
      <c r="W58" s="483"/>
      <c r="X58" s="483"/>
      <c r="Y58" s="483"/>
      <c r="Z58" s="483"/>
      <c r="AA58" s="483"/>
      <c r="AB58" s="483"/>
      <c r="AC58" s="108">
        <f>SUMPRODUCT($B$271:$M$271,$B150:$M150)</f>
        <v>248.06000032593482</v>
      </c>
      <c r="AD58" s="108">
        <f t="shared" si="10"/>
        <v>24.825820680350368</v>
      </c>
      <c r="AE58" s="103"/>
      <c r="AF58" s="67">
        <f t="shared" ref="AF58:AF74" si="13">+AF57+1</f>
        <v>1979</v>
      </c>
      <c r="AG58" s="229"/>
      <c r="AH58" s="494"/>
      <c r="AI58" s="494"/>
      <c r="AJ58" s="494"/>
      <c r="AK58" s="494"/>
      <c r="AL58" s="494"/>
      <c r="AM58" s="41"/>
      <c r="AN58" s="41"/>
      <c r="AO58" s="41"/>
      <c r="AP58" s="41"/>
      <c r="AQ58" s="41"/>
      <c r="AR58" s="41"/>
      <c r="AS58" s="552"/>
      <c r="AT58" s="109"/>
    </row>
    <row r="59" spans="1:49" ht="11.25" customHeight="1">
      <c r="A59" s="482">
        <f t="shared" si="11"/>
        <v>1980</v>
      </c>
      <c r="B59" s="527">
        <v>8.5125300490664219E-3</v>
      </c>
      <c r="C59" s="528">
        <v>5.762834656041097E-3</v>
      </c>
      <c r="D59" s="528">
        <v>0.44510488359074002</v>
      </c>
      <c r="E59" s="528">
        <v>0.42654855599828762</v>
      </c>
      <c r="F59" s="528">
        <v>8.4022129285079197E-2</v>
      </c>
      <c r="G59" s="528">
        <v>3.6882141798663028E-3</v>
      </c>
      <c r="H59" s="96">
        <v>2.636085224091942E-2</v>
      </c>
      <c r="I59" s="528"/>
      <c r="J59" s="528"/>
      <c r="K59" s="528"/>
      <c r="L59" s="528"/>
      <c r="M59" s="528"/>
      <c r="N59" s="97">
        <v>14391.813555170505</v>
      </c>
      <c r="O59" s="98"/>
      <c r="P59" s="482">
        <f t="shared" si="12"/>
        <v>1980</v>
      </c>
      <c r="Q59" s="110">
        <f>B$271*B151/$AC59</f>
        <v>2.3748197547803777E-2</v>
      </c>
      <c r="R59" s="478">
        <f>C$271*C151/$AC59</f>
        <v>1.936182042138505E-2</v>
      </c>
      <c r="S59" s="478">
        <f>D$271*D151/$AC59</f>
        <v>0.4000608166531705</v>
      </c>
      <c r="T59" s="478">
        <f>E$271*E151/$AC59</f>
        <v>0.40232290523172953</v>
      </c>
      <c r="U59" s="478">
        <f>F$271*F151/$AC59</f>
        <v>0.1253046925453524</v>
      </c>
      <c r="V59" s="478">
        <f>G$271*G151/$AC59</f>
        <v>1.6318047894368747E-3</v>
      </c>
      <c r="W59" s="107">
        <f>H$271*H151/$AC59</f>
        <v>2.756976281112198E-2</v>
      </c>
      <c r="X59" s="483"/>
      <c r="Y59" s="483"/>
      <c r="Z59" s="483"/>
      <c r="AA59" s="483"/>
      <c r="AB59" s="483"/>
      <c r="AC59" s="108">
        <f>SUMPRODUCT($B$271:$M$271,$B151:$M151)</f>
        <v>286.07651718519645</v>
      </c>
      <c r="AD59" s="108">
        <f t="shared" si="10"/>
        <v>50.257549131243913</v>
      </c>
      <c r="AE59" s="103"/>
      <c r="AF59" s="67">
        <f t="shared" si="13"/>
        <v>1980</v>
      </c>
      <c r="AG59" s="547">
        <f t="shared" ref="AG59:AG94" si="14">B59-Q59</f>
        <v>-1.5235667498737355E-2</v>
      </c>
      <c r="AH59" s="545">
        <f t="shared" ref="AH59:AH94" si="15">C59-R59</f>
        <v>-1.3598985765343952E-2</v>
      </c>
      <c r="AI59" s="545">
        <f t="shared" ref="AI59:AI94" si="16">D59-S59</f>
        <v>4.5044066937569516E-2</v>
      </c>
      <c r="AJ59" s="545">
        <f t="shared" ref="AJ59:AJ94" si="17">E59-T59</f>
        <v>2.4225650766558082E-2</v>
      </c>
      <c r="AK59" s="545">
        <f t="shared" ref="AK59:AK94" si="18">F59-U59</f>
        <v>-4.12825632602732E-2</v>
      </c>
      <c r="AL59" s="111">
        <f t="shared" ref="AL59:AL94" si="19">G59-V59</f>
        <v>2.0564093904294279E-3</v>
      </c>
      <c r="AM59" s="111">
        <f t="shared" ref="AM59:AM94" si="20">H59-W59</f>
        <v>-1.2089105702025593E-3</v>
      </c>
      <c r="AN59" s="112"/>
      <c r="AO59" s="112"/>
      <c r="AP59" s="112"/>
      <c r="AQ59" s="112"/>
      <c r="AR59" s="41"/>
      <c r="AS59" s="552">
        <f t="shared" ref="AS59:AS85" si="21">SUMSQ(AG59:AR59)</f>
        <v>4.7428484130038404E-3</v>
      </c>
      <c r="AT59" s="109">
        <v>1</v>
      </c>
    </row>
    <row r="60" spans="1:49" ht="11.25" customHeight="1">
      <c r="A60" s="482">
        <f t="shared" si="11"/>
        <v>1981</v>
      </c>
      <c r="B60" s="527">
        <v>0.49296274693784392</v>
      </c>
      <c r="C60" s="528">
        <v>8.0186645702837719E-2</v>
      </c>
      <c r="D60" s="528">
        <v>1.5596074353967489E-2</v>
      </c>
      <c r="E60" s="528">
        <v>0.23330712854715591</v>
      </c>
      <c r="F60" s="528">
        <v>0.12408388912839499</v>
      </c>
      <c r="G60" s="528">
        <v>4.7904039763649736E-2</v>
      </c>
      <c r="H60" s="528">
        <v>1.7244439936094135E-3</v>
      </c>
      <c r="I60" s="96">
        <v>4.2350315725407659E-3</v>
      </c>
      <c r="J60" s="528"/>
      <c r="K60" s="528"/>
      <c r="L60" s="528"/>
      <c r="M60" s="528"/>
      <c r="N60" s="97">
        <v>9329.8981230325408</v>
      </c>
      <c r="O60" s="98"/>
      <c r="P60" s="482">
        <f t="shared" si="12"/>
        <v>1981</v>
      </c>
      <c r="Q60" s="110">
        <f>B$271*B152/$AC60</f>
        <v>0.31375649893419599</v>
      </c>
      <c r="R60" s="478">
        <f>C$271*C152/$AC60</f>
        <v>4.0248880029152556E-2</v>
      </c>
      <c r="S60" s="478">
        <f>D$271*D152/$AC60</f>
        <v>2.2236199998865742E-2</v>
      </c>
      <c r="T60" s="478">
        <f>E$271*E152/$AC60</f>
        <v>0.29716952042072953</v>
      </c>
      <c r="U60" s="478">
        <f>F$271*F152/$AC60</f>
        <v>0.24160701927098749</v>
      </c>
      <c r="V60" s="478">
        <f>G$271*G152/$AC60</f>
        <v>7.09771384560553E-2</v>
      </c>
      <c r="W60" s="483">
        <f>H$271*H152/$AC60</f>
        <v>7.2803353728372619E-4</v>
      </c>
      <c r="X60" s="107">
        <f>I$271*I152/$AC60</f>
        <v>1.3276709352729647E-2</v>
      </c>
      <c r="Y60" s="483"/>
      <c r="Z60" s="483"/>
      <c r="AA60" s="483"/>
      <c r="AB60" s="483"/>
      <c r="AC60" s="108">
        <f>SUMPRODUCT($B$271:$M$271,$B152:$M152)</f>
        <v>365.72942861695594</v>
      </c>
      <c r="AD60" s="108">
        <f t="shared" si="10"/>
        <v>33.170211352978349</v>
      </c>
      <c r="AE60" s="103"/>
      <c r="AF60" s="67">
        <f t="shared" si="13"/>
        <v>1981</v>
      </c>
      <c r="AG60" s="547">
        <f t="shared" si="14"/>
        <v>0.17920624800364793</v>
      </c>
      <c r="AH60" s="545">
        <f t="shared" si="15"/>
        <v>3.9937765673685163E-2</v>
      </c>
      <c r="AI60" s="545">
        <f t="shared" si="16"/>
        <v>-6.640125644898253E-3</v>
      </c>
      <c r="AJ60" s="545">
        <f t="shared" si="17"/>
        <v>-6.3862391873573621E-2</v>
      </c>
      <c r="AK60" s="545">
        <f t="shared" si="18"/>
        <v>-0.1175231301425925</v>
      </c>
      <c r="AL60" s="545">
        <f t="shared" si="19"/>
        <v>-2.3073098692405564E-2</v>
      </c>
      <c r="AM60" s="111">
        <f t="shared" si="20"/>
        <v>9.964104563256874E-4</v>
      </c>
      <c r="AN60" s="111">
        <f t="shared" ref="AN60:AN94" si="22">I60-X60</f>
        <v>-9.0416777801888802E-3</v>
      </c>
      <c r="AO60" s="112"/>
      <c r="AP60" s="112"/>
      <c r="AQ60" s="112"/>
      <c r="AR60" s="41"/>
      <c r="AS60" s="552">
        <f t="shared" si="21"/>
        <v>5.2259199587605519E-2</v>
      </c>
      <c r="AT60" s="109">
        <v>1</v>
      </c>
    </row>
    <row r="61" spans="1:49" ht="11.25" customHeight="1">
      <c r="A61" s="53">
        <f t="shared" si="11"/>
        <v>1982</v>
      </c>
      <c r="B61" s="527">
        <v>0.21654536544639449</v>
      </c>
      <c r="C61" s="528">
        <v>0.5511552353122674</v>
      </c>
      <c r="D61" s="528">
        <v>3.3740494037787894E-2</v>
      </c>
      <c r="E61" s="528">
        <v>8.3307621104597336E-3</v>
      </c>
      <c r="F61" s="528">
        <v>0.12432618835871279</v>
      </c>
      <c r="G61" s="528">
        <v>5.3850481877416187E-2</v>
      </c>
      <c r="H61" s="528">
        <v>8.6211590467720547E-3</v>
      </c>
      <c r="I61" s="528">
        <v>1.9601793201081724E-3</v>
      </c>
      <c r="J61" s="96">
        <v>1.4701344900811294E-3</v>
      </c>
      <c r="K61" s="528"/>
      <c r="L61" s="528"/>
      <c r="M61" s="528"/>
      <c r="N61" s="97">
        <v>13451.216082590197</v>
      </c>
      <c r="O61" s="98"/>
      <c r="P61" s="53">
        <f t="shared" si="12"/>
        <v>1982</v>
      </c>
      <c r="Q61" s="106">
        <f>B$271*B153/$AC61</f>
        <v>0.17335268854572528</v>
      </c>
      <c r="R61" s="483">
        <f>C$271*C153/$AC61</f>
        <v>0.44364054685097815</v>
      </c>
      <c r="S61" s="483">
        <f>D$271*D153/$AC61</f>
        <v>3.9010389900244205E-2</v>
      </c>
      <c r="T61" s="483">
        <f>E$271*E153/$AC61</f>
        <v>1.5054040247399503E-2</v>
      </c>
      <c r="U61" s="483">
        <f>F$271*F153/$AC61</f>
        <v>0.16397728639634707</v>
      </c>
      <c r="V61" s="483">
        <f>G$271*G153/$AC61</f>
        <v>0.12591987407494631</v>
      </c>
      <c r="W61" s="483">
        <f>H$271*H153/$AC61</f>
        <v>3.3284362900908027E-2</v>
      </c>
      <c r="X61" s="483">
        <f>I$271*I153/$AC61</f>
        <v>3.1218446901220187E-4</v>
      </c>
      <c r="Y61" s="107">
        <f>J$271*J153/$AC61</f>
        <v>5.4486266144391894E-3</v>
      </c>
      <c r="Z61" s="483"/>
      <c r="AA61" s="483"/>
      <c r="AB61" s="483"/>
      <c r="AC61" s="108">
        <f>SUMPRODUCT($B$271:$M$271,$B153:$M153)</f>
        <v>564.9118653043447</v>
      </c>
      <c r="AD61" s="108">
        <f t="shared" si="10"/>
        <v>48.67363061313354</v>
      </c>
      <c r="AE61" s="103"/>
      <c r="AF61" s="544">
        <f t="shared" si="13"/>
        <v>1982</v>
      </c>
      <c r="AG61" s="547">
        <f t="shared" si="14"/>
        <v>4.3192676900669219E-2</v>
      </c>
      <c r="AH61" s="545">
        <f t="shared" si="15"/>
        <v>0.10751468846128925</v>
      </c>
      <c r="AI61" s="545">
        <f t="shared" si="16"/>
        <v>-5.2698958624563114E-3</v>
      </c>
      <c r="AJ61" s="545">
        <f t="shared" si="17"/>
        <v>-6.7232781369397695E-3</v>
      </c>
      <c r="AK61" s="545">
        <f t="shared" si="18"/>
        <v>-3.965109803763428E-2</v>
      </c>
      <c r="AL61" s="545">
        <f t="shared" si="19"/>
        <v>-7.2069392197530127E-2</v>
      </c>
      <c r="AM61" s="545">
        <f t="shared" si="20"/>
        <v>-2.4663203854135972E-2</v>
      </c>
      <c r="AN61" s="111">
        <f t="shared" si="22"/>
        <v>1.6479948510959705E-3</v>
      </c>
      <c r="AO61" s="111">
        <f t="shared" ref="AO61:AO94" si="23">J61-Y61</f>
        <v>-3.9784921243580604E-3</v>
      </c>
      <c r="AP61" s="112"/>
      <c r="AQ61" s="112"/>
      <c r="AR61" s="41"/>
      <c r="AS61" s="552">
        <f t="shared" si="21"/>
        <v>2.0891014622356464E-2</v>
      </c>
      <c r="AT61" s="109">
        <v>1</v>
      </c>
      <c r="AV61" s="5"/>
      <c r="AW61" s="5"/>
    </row>
    <row r="62" spans="1:49" s="6" customFormat="1" ht="11.25" customHeight="1">
      <c r="A62" s="53">
        <f t="shared" si="11"/>
        <v>1983</v>
      </c>
      <c r="B62" s="527">
        <v>1.6354436911433769E-2</v>
      </c>
      <c r="C62" s="528">
        <v>0.26905270400045866</v>
      </c>
      <c r="D62" s="528">
        <v>0.58315535998394652</v>
      </c>
      <c r="E62" s="528">
        <v>1.8776785586308711E-2</v>
      </c>
      <c r="F62" s="528">
        <v>1.8246448894176325E-2</v>
      </c>
      <c r="G62" s="528">
        <v>7.1452119196754912E-2</v>
      </c>
      <c r="H62" s="528">
        <v>2.2962145426921036E-2</v>
      </c>
      <c r="I62" s="528">
        <v>0</v>
      </c>
      <c r="J62" s="528">
        <v>0</v>
      </c>
      <c r="K62" s="96">
        <v>0</v>
      </c>
      <c r="L62" s="528"/>
      <c r="M62" s="528"/>
      <c r="N62" s="97">
        <v>19316.226832742152</v>
      </c>
      <c r="O62" s="98"/>
      <c r="P62" s="53">
        <f t="shared" si="12"/>
        <v>1983</v>
      </c>
      <c r="Q62" s="106">
        <f>B$271*B154/$AC62</f>
        <v>4.7095210376087694E-2</v>
      </c>
      <c r="R62" s="483">
        <f>C$271*C154/$AC62</f>
        <v>0.26802104811628541</v>
      </c>
      <c r="S62" s="483">
        <f>D$271*D154/$AC62</f>
        <v>0.47078296222717242</v>
      </c>
      <c r="T62" s="483">
        <f>E$271*E154/$AC62</f>
        <v>2.8462840530222456E-2</v>
      </c>
      <c r="U62" s="483">
        <f>F$271*F154/$AC62</f>
        <v>9.2494014741267387E-3</v>
      </c>
      <c r="V62" s="483">
        <f>G$271*G154/$AC62</f>
        <v>9.3493725868798935E-2</v>
      </c>
      <c r="W62" s="483">
        <f>H$271*H154/$AC62</f>
        <v>6.4725480314809833E-2</v>
      </c>
      <c r="X62" s="483">
        <f>I$271*I154/$AC62</f>
        <v>1.5968640510563365E-2</v>
      </c>
      <c r="Y62" s="483">
        <f>J$271*J154/$AC62</f>
        <v>1.4153806561826009E-4</v>
      </c>
      <c r="Z62" s="107">
        <f>K$271*K154/$AC62</f>
        <v>2.0591525163149243E-3</v>
      </c>
      <c r="AA62" s="483"/>
      <c r="AB62" s="483"/>
      <c r="AC62" s="108">
        <f>SUMPRODUCT($B$271:$M$271,$B154:$M154)</f>
        <v>797.20389386427382</v>
      </c>
      <c r="AD62" s="108">
        <f t="shared" si="10"/>
        <v>65.95665748137111</v>
      </c>
      <c r="AE62" s="103"/>
      <c r="AF62" s="544">
        <f t="shared" si="13"/>
        <v>1983</v>
      </c>
      <c r="AG62" s="547">
        <f t="shared" si="14"/>
        <v>-3.0740773464653925E-2</v>
      </c>
      <c r="AH62" s="545">
        <f t="shared" si="15"/>
        <v>1.0316558841732548E-3</v>
      </c>
      <c r="AI62" s="545">
        <f t="shared" si="16"/>
        <v>0.1123723977567741</v>
      </c>
      <c r="AJ62" s="545">
        <f t="shared" si="17"/>
        <v>-9.6860549439137453E-3</v>
      </c>
      <c r="AK62" s="545">
        <f t="shared" si="18"/>
        <v>8.9970474200495865E-3</v>
      </c>
      <c r="AL62" s="545">
        <f t="shared" si="19"/>
        <v>-2.2041606672044023E-2</v>
      </c>
      <c r="AM62" s="545">
        <f t="shared" si="20"/>
        <v>-4.1763334887888796E-2</v>
      </c>
      <c r="AN62" s="545">
        <f t="shared" si="22"/>
        <v>-1.5968640510563365E-2</v>
      </c>
      <c r="AO62" s="545">
        <f t="shared" si="23"/>
        <v>-1.4153806561826009E-4</v>
      </c>
      <c r="AP62" s="111">
        <f t="shared" ref="AP62:AP94" si="24">K62-Z62</f>
        <v>-2.0591525163149243E-3</v>
      </c>
      <c r="AQ62" s="112"/>
      <c r="AR62" s="41"/>
      <c r="AS62" s="552">
        <f t="shared" si="21"/>
        <v>1.6237647954838421E-2</v>
      </c>
      <c r="AT62" s="109">
        <v>1</v>
      </c>
      <c r="AU62" s="2"/>
      <c r="AV62" s="7"/>
      <c r="AW62" s="7"/>
    </row>
    <row r="63" spans="1:49" s="6" customFormat="1" ht="11.25" customHeight="1">
      <c r="A63" s="53">
        <f t="shared" si="11"/>
        <v>1984</v>
      </c>
      <c r="B63" s="527">
        <v>2.3327464788732394E-3</v>
      </c>
      <c r="C63" s="528">
        <v>5.5193661971830989E-2</v>
      </c>
      <c r="D63" s="528">
        <v>0.3650088028169014</v>
      </c>
      <c r="E63" s="528">
        <v>0.43492517605633807</v>
      </c>
      <c r="F63" s="528">
        <v>2.6034330985915496E-2</v>
      </c>
      <c r="G63" s="528">
        <v>7.4229753521126762E-2</v>
      </c>
      <c r="H63" s="528">
        <v>3.7037852112676059E-2</v>
      </c>
      <c r="I63" s="528">
        <v>5.2376760563380281E-3</v>
      </c>
      <c r="J63" s="528">
        <v>0</v>
      </c>
      <c r="K63" s="528">
        <v>0</v>
      </c>
      <c r="L63" s="96">
        <v>0</v>
      </c>
      <c r="M63" s="113"/>
      <c r="N63" s="97">
        <v>13131.51472816177</v>
      </c>
      <c r="O63" s="537" t="s">
        <v>28</v>
      </c>
      <c r="P63" s="53">
        <f t="shared" si="12"/>
        <v>1984</v>
      </c>
      <c r="Q63" s="106">
        <f>B$271*B155/$AC63</f>
        <v>9.6710277029817635E-3</v>
      </c>
      <c r="R63" s="483">
        <f>C$271*C155/$AC63</f>
        <v>8.829455573870082E-2</v>
      </c>
      <c r="S63" s="483">
        <f>D$271*D155/$AC63</f>
        <v>0.34788266884596636</v>
      </c>
      <c r="T63" s="483">
        <f>E$271*E155/$AC63</f>
        <v>0.42258106204137258</v>
      </c>
      <c r="U63" s="483">
        <f>F$271*F155/$AC63</f>
        <v>2.080255641314559E-2</v>
      </c>
      <c r="V63" s="483">
        <f>G$271*G155/$AC63</f>
        <v>6.2003978170871166E-3</v>
      </c>
      <c r="W63" s="483">
        <f>H$271*H155/$AC63</f>
        <v>5.7177784064437784E-2</v>
      </c>
      <c r="X63" s="483">
        <f>I$271*I155/$AC63</f>
        <v>3.768251265666215E-2</v>
      </c>
      <c r="Y63" s="483">
        <f>J$271*J155/$AC63</f>
        <v>8.6809927674477601E-3</v>
      </c>
      <c r="Z63" s="483">
        <f>K$271*K155/$AC63</f>
        <v>7.1884881365183681E-5</v>
      </c>
      <c r="AA63" s="107">
        <f>L$271*L155/$AC63</f>
        <v>9.5455707083285377E-4</v>
      </c>
      <c r="AB63" s="483"/>
      <c r="AC63" s="108">
        <f>SUMPRODUCT($B$271:$M$271,$B155:$M155)</f>
        <v>936.12254337264005</v>
      </c>
      <c r="AD63" s="108">
        <f t="shared" si="10"/>
        <v>43.635645303239002</v>
      </c>
      <c r="AE63" s="422" t="s">
        <v>28</v>
      </c>
      <c r="AF63" s="544">
        <f t="shared" si="13"/>
        <v>1984</v>
      </c>
      <c r="AG63" s="547">
        <f t="shared" si="14"/>
        <v>-7.3382812241085237E-3</v>
      </c>
      <c r="AH63" s="545">
        <f t="shared" si="15"/>
        <v>-3.3100893766869831E-2</v>
      </c>
      <c r="AI63" s="545">
        <f t="shared" si="16"/>
        <v>1.7126133970935042E-2</v>
      </c>
      <c r="AJ63" s="545">
        <f t="shared" si="17"/>
        <v>1.234411401496549E-2</v>
      </c>
      <c r="AK63" s="545">
        <f t="shared" si="18"/>
        <v>5.231774572769906E-3</v>
      </c>
      <c r="AL63" s="545">
        <f t="shared" si="19"/>
        <v>6.8029355704039646E-2</v>
      </c>
      <c r="AM63" s="545">
        <f t="shared" si="20"/>
        <v>-2.0139931951761725E-2</v>
      </c>
      <c r="AN63" s="545">
        <f t="shared" si="22"/>
        <v>-3.2444836600324121E-2</v>
      </c>
      <c r="AO63" s="545">
        <f t="shared" si="23"/>
        <v>-8.6809927674477601E-3</v>
      </c>
      <c r="AP63" s="545">
        <f t="shared" si="24"/>
        <v>-7.1884881365183681E-5</v>
      </c>
      <c r="AQ63" s="111">
        <f t="shared" ref="AQ63:AQ94" si="25">L63-AA63</f>
        <v>-9.5455707083285377E-4</v>
      </c>
      <c r="AR63" s="41"/>
      <c r="AS63" s="552">
        <f t="shared" si="21"/>
        <v>7.7851261208910722E-3</v>
      </c>
      <c r="AT63" s="109">
        <v>1</v>
      </c>
      <c r="AV63" s="7"/>
      <c r="AW63" s="7"/>
    </row>
    <row r="64" spans="1:49" s="6" customFormat="1" ht="11.25" customHeight="1">
      <c r="A64" s="482">
        <f t="shared" si="11"/>
        <v>1985</v>
      </c>
      <c r="B64" s="529">
        <v>1.7986614612381484E-2</v>
      </c>
      <c r="C64" s="113">
        <v>1.7707752370329059E-2</v>
      </c>
      <c r="D64" s="113">
        <v>8.4355828220858894E-2</v>
      </c>
      <c r="E64" s="113">
        <v>0.32775027886224206</v>
      </c>
      <c r="F64" s="113">
        <v>0.41541759620747354</v>
      </c>
      <c r="G64" s="113">
        <v>7.3218767428890122E-2</v>
      </c>
      <c r="H64" s="113">
        <v>4.1986196319018405E-2</v>
      </c>
      <c r="I64" s="113">
        <v>1.6069436698271055E-2</v>
      </c>
      <c r="J64" s="113">
        <v>5.4726715002788627E-3</v>
      </c>
      <c r="K64" s="113">
        <v>3.4857780256553265E-5</v>
      </c>
      <c r="L64" s="113">
        <v>0</v>
      </c>
      <c r="M64" s="113">
        <v>0</v>
      </c>
      <c r="N64" s="432">
        <v>19287.931707051557</v>
      </c>
      <c r="O64" s="538">
        <f>SUM(G64:M64)</f>
        <v>0.13678192972671499</v>
      </c>
      <c r="P64" s="482">
        <f t="shared" si="12"/>
        <v>1985</v>
      </c>
      <c r="Q64" s="110">
        <f>B$271*B156/$AC64</f>
        <v>2.3725675708543812E-2</v>
      </c>
      <c r="R64" s="478">
        <f>C$271*C156/$AC64</f>
        <v>2.0783638781213039E-2</v>
      </c>
      <c r="S64" s="478">
        <f>D$271*D156/$AC64</f>
        <v>0.13346121818134157</v>
      </c>
      <c r="T64" s="478">
        <f>E$271*E156/$AC64</f>
        <v>0.36722067394757607</v>
      </c>
      <c r="U64" s="478">
        <f>F$271*F156/$AC64</f>
        <v>0.36484237798240021</v>
      </c>
      <c r="V64" s="478">
        <f>G$271*G156/$AC64</f>
        <v>1.6498238162356928E-2</v>
      </c>
      <c r="W64" s="478">
        <f>H$271*H156/$AC64</f>
        <v>3.8509271253798103E-3</v>
      </c>
      <c r="X64" s="478">
        <f>I$271*I156/$AC64</f>
        <v>3.9433852286930256E-2</v>
      </c>
      <c r="Y64" s="478">
        <f>J$271*J156/$AC64</f>
        <v>2.4429206376501436E-2</v>
      </c>
      <c r="Z64" s="478">
        <f>K$271*K156/$AC64</f>
        <v>5.2272294921289269E-3</v>
      </c>
      <c r="AA64" s="478">
        <f>L$271*L156/$AC64</f>
        <v>4.0000791242823882E-5</v>
      </c>
      <c r="AB64" s="478">
        <f>M$271*M156/$AC64</f>
        <v>4.8696116438493508E-4</v>
      </c>
      <c r="AC64" s="114">
        <f>SUMPRODUCT($B$271:$M$271,$B156:$M156)</f>
        <v>962.68405028011364</v>
      </c>
      <c r="AD64" s="114">
        <f t="shared" si="10"/>
        <v>58.186235044045581</v>
      </c>
      <c r="AE64" s="540">
        <f t="shared" ref="AE64:AE94" si="26">SUM(V64:AB64)</f>
        <v>8.9966415398925095E-2</v>
      </c>
      <c r="AF64" s="67">
        <f t="shared" si="13"/>
        <v>1985</v>
      </c>
      <c r="AG64" s="548">
        <f t="shared" si="14"/>
        <v>-5.7390610961623283E-3</v>
      </c>
      <c r="AH64" s="44">
        <f t="shared" si="15"/>
        <v>-3.0758864108839795E-3</v>
      </c>
      <c r="AI64" s="115">
        <f t="shared" si="16"/>
        <v>-4.9105389960482679E-2</v>
      </c>
      <c r="AJ64" s="44">
        <f t="shared" si="17"/>
        <v>-3.9470395085334009E-2</v>
      </c>
      <c r="AK64" s="44">
        <f t="shared" si="18"/>
        <v>5.0575218225073326E-2</v>
      </c>
      <c r="AL64" s="44">
        <f t="shared" si="19"/>
        <v>5.672052926653319E-2</v>
      </c>
      <c r="AM64" s="44">
        <f t="shared" si="20"/>
        <v>3.8135269193638598E-2</v>
      </c>
      <c r="AN64" s="44">
        <f t="shared" si="22"/>
        <v>-2.3364415588659201E-2</v>
      </c>
      <c r="AO64" s="44">
        <f t="shared" si="23"/>
        <v>-1.8956534876222574E-2</v>
      </c>
      <c r="AP64" s="44">
        <f t="shared" si="24"/>
        <v>-5.1923717118723739E-3</v>
      </c>
      <c r="AQ64" s="44">
        <f t="shared" si="25"/>
        <v>-4.0000791242823882E-5</v>
      </c>
      <c r="AR64" s="44">
        <f t="shared" ref="AR64:AR94" si="27">M64-AB64</f>
        <v>-4.8696116438493508E-4</v>
      </c>
      <c r="AS64" s="553">
        <f t="shared" si="21"/>
        <v>1.2173464791648493E-2</v>
      </c>
      <c r="AT64" s="116">
        <v>1</v>
      </c>
      <c r="AV64" s="7"/>
      <c r="AW64" s="7"/>
    </row>
    <row r="65" spans="1:49" s="6" customFormat="1" ht="11.25" customHeight="1">
      <c r="A65" s="482">
        <f t="shared" si="11"/>
        <v>1986</v>
      </c>
      <c r="B65" s="529">
        <v>0</v>
      </c>
      <c r="C65" s="113">
        <v>2.2840679577046455E-2</v>
      </c>
      <c r="D65" s="113">
        <v>2.0642746821908042E-2</v>
      </c>
      <c r="E65" s="113">
        <v>0.16270642746821909</v>
      </c>
      <c r="F65" s="113">
        <v>0.41656766068670548</v>
      </c>
      <c r="G65" s="113">
        <v>0.29909706546275394</v>
      </c>
      <c r="H65" s="113">
        <v>4.1968634905548294E-2</v>
      </c>
      <c r="I65" s="113">
        <v>2.518712130212665E-2</v>
      </c>
      <c r="J65" s="113">
        <v>8.7620292265652849E-3</v>
      </c>
      <c r="K65" s="113">
        <v>2.2276345491267671E-3</v>
      </c>
      <c r="L65" s="113">
        <v>0</v>
      </c>
      <c r="M65" s="113">
        <v>0</v>
      </c>
      <c r="N65" s="432">
        <v>11653.164717729132</v>
      </c>
      <c r="O65" s="467">
        <f t="shared" ref="O65:O86" si="28">SUM(G65:M65)</f>
        <v>0.37724248544612093</v>
      </c>
      <c r="P65" s="482">
        <f t="shared" si="12"/>
        <v>1986</v>
      </c>
      <c r="Q65" s="110">
        <f>B$271*B157/$AC65</f>
        <v>6.6623228150437903E-3</v>
      </c>
      <c r="R65" s="478">
        <f>C$271*C157/$AC65</f>
        <v>5.7155013801311876E-2</v>
      </c>
      <c r="S65" s="478">
        <f>D$271*D157/$AC65</f>
        <v>3.5172851408076682E-2</v>
      </c>
      <c r="T65" s="478">
        <f>E$271*E157/$AC65</f>
        <v>0.15721707316553038</v>
      </c>
      <c r="U65" s="478">
        <f>F$271*F157/$AC65</f>
        <v>0.35193132445367964</v>
      </c>
      <c r="V65" s="478">
        <f>G$271*G157/$AC65</f>
        <v>0.32830142685114538</v>
      </c>
      <c r="W65" s="478">
        <f>H$271*H157/$AC65</f>
        <v>1.2911504532597264E-2</v>
      </c>
      <c r="X65" s="478">
        <f>I$271*I157/$AC65</f>
        <v>2.7031150234612888E-3</v>
      </c>
      <c r="Y65" s="478">
        <f>J$271*J157/$AC65</f>
        <v>2.8181723725265961E-2</v>
      </c>
      <c r="Z65" s="478">
        <f>K$271*K157/$AC65</f>
        <v>1.627552131523673E-2</v>
      </c>
      <c r="AA65" s="478">
        <f>L$271*L157/$AC65</f>
        <v>3.2158459768234114E-3</v>
      </c>
      <c r="AB65" s="478">
        <f>M$271*M157/$AC65</f>
        <v>2.7227693182734305E-4</v>
      </c>
      <c r="AC65" s="114">
        <f>SUMPRODUCT($B$271:$M$271,$B157:$M157)</f>
        <v>882.46359585456901</v>
      </c>
      <c r="AD65" s="114">
        <f t="shared" si="10"/>
        <v>32.959521375260358</v>
      </c>
      <c r="AE65" s="541">
        <f t="shared" si="26"/>
        <v>0.39186141435635735</v>
      </c>
      <c r="AF65" s="67">
        <f t="shared" si="13"/>
        <v>1986</v>
      </c>
      <c r="AG65" s="548">
        <f t="shared" si="14"/>
        <v>-6.6623228150437903E-3</v>
      </c>
      <c r="AH65" s="44">
        <f t="shared" si="15"/>
        <v>-3.4314334224265421E-2</v>
      </c>
      <c r="AI65" s="44">
        <f t="shared" si="16"/>
        <v>-1.453010458616864E-2</v>
      </c>
      <c r="AJ65" s="44">
        <f t="shared" si="17"/>
        <v>5.4893543026887093E-3</v>
      </c>
      <c r="AK65" s="44">
        <f t="shared" si="18"/>
        <v>6.4636336233025837E-2</v>
      </c>
      <c r="AL65" s="44">
        <f t="shared" si="19"/>
        <v>-2.9204361388391442E-2</v>
      </c>
      <c r="AM65" s="44">
        <f t="shared" si="20"/>
        <v>2.9057130372951032E-2</v>
      </c>
      <c r="AN65" s="44">
        <f t="shared" si="22"/>
        <v>2.2484006278665362E-2</v>
      </c>
      <c r="AO65" s="44">
        <f t="shared" si="23"/>
        <v>-1.9419694498700676E-2</v>
      </c>
      <c r="AP65" s="44">
        <f t="shared" si="24"/>
        <v>-1.4047886766109963E-2</v>
      </c>
      <c r="AQ65" s="44">
        <f t="shared" si="25"/>
        <v>-3.2158459768234114E-3</v>
      </c>
      <c r="AR65" s="44">
        <f t="shared" si="27"/>
        <v>-2.7227693182734305E-4</v>
      </c>
      <c r="AS65" s="553">
        <f t="shared" si="21"/>
        <v>8.4285985351647344E-3</v>
      </c>
      <c r="AT65" s="116">
        <v>1</v>
      </c>
      <c r="AV65" s="7"/>
      <c r="AW65" s="7"/>
    </row>
    <row r="66" spans="1:49" s="6" customFormat="1" ht="11.25" customHeight="1">
      <c r="A66" s="482">
        <f t="shared" si="11"/>
        <v>1987</v>
      </c>
      <c r="B66" s="529">
        <v>2.354686794400361E-3</v>
      </c>
      <c r="C66" s="113">
        <v>1.0321914715179666E-3</v>
      </c>
      <c r="D66" s="113">
        <v>0.10150958002709501</v>
      </c>
      <c r="E66" s="113">
        <v>0.10725114508741371</v>
      </c>
      <c r="F66" s="113">
        <v>0.25662860460615444</v>
      </c>
      <c r="G66" s="113">
        <v>0.42671440552222434</v>
      </c>
      <c r="H66" s="113">
        <v>8.2349525837042761E-2</v>
      </c>
      <c r="I66" s="113">
        <v>1.2418553641700535E-2</v>
      </c>
      <c r="J66" s="113">
        <v>8.6123475904780339E-3</v>
      </c>
      <c r="K66" s="113">
        <v>1.1289594219727761E-3</v>
      </c>
      <c r="L66" s="113">
        <v>0</v>
      </c>
      <c r="M66" s="113">
        <v>0</v>
      </c>
      <c r="N66" s="432">
        <v>11448.068147798715</v>
      </c>
      <c r="O66" s="467">
        <f t="shared" si="28"/>
        <v>0.53122379201341841</v>
      </c>
      <c r="P66" s="482">
        <f t="shared" si="12"/>
        <v>1987</v>
      </c>
      <c r="Q66" s="110">
        <f>B$271*B158/$AC66</f>
        <v>2.5952160267865437E-2</v>
      </c>
      <c r="R66" s="478">
        <f>C$271*C158/$AC66</f>
        <v>1.6499150803983061E-2</v>
      </c>
      <c r="S66" s="478">
        <f>D$271*D158/$AC66</f>
        <v>0.10007850763692804</v>
      </c>
      <c r="T66" s="478">
        <f>E$271*E158/$AC66</f>
        <v>4.3193127815811125E-2</v>
      </c>
      <c r="U66" s="478">
        <f>F$271*F158/$AC66</f>
        <v>0.15786617056375229</v>
      </c>
      <c r="V66" s="478">
        <f>G$271*G158/$AC66</f>
        <v>0.33170200881612161</v>
      </c>
      <c r="W66" s="478">
        <f>H$271*H158/$AC66</f>
        <v>0.28031084287208796</v>
      </c>
      <c r="X66" s="478">
        <f>I$271*I158/$AC66</f>
        <v>1.0201433619757391E-2</v>
      </c>
      <c r="Y66" s="478">
        <f>J$271*J158/$AC66</f>
        <v>1.9125940107795492E-3</v>
      </c>
      <c r="Z66" s="478">
        <f>K$271*K158/$AC66</f>
        <v>1.9719538019086252E-2</v>
      </c>
      <c r="AA66" s="478">
        <f>L$271*L158/$AC66</f>
        <v>1.0513426181385517E-2</v>
      </c>
      <c r="AB66" s="478">
        <f>M$271*M158/$AC66</f>
        <v>2.0510393924417732E-3</v>
      </c>
      <c r="AC66" s="114">
        <f>SUMPRODUCT($B$271:$M$271,$B158:$M158)</f>
        <v>789.34898276654724</v>
      </c>
      <c r="AD66" s="114">
        <f t="shared" si="10"/>
        <v>28.457705689061235</v>
      </c>
      <c r="AE66" s="541">
        <f t="shared" si="26"/>
        <v>0.65641088291165994</v>
      </c>
      <c r="AF66" s="67">
        <f t="shared" si="13"/>
        <v>1987</v>
      </c>
      <c r="AG66" s="548">
        <f t="shared" si="14"/>
        <v>-2.3597473473465077E-2</v>
      </c>
      <c r="AH66" s="44">
        <f t="shared" si="15"/>
        <v>-1.5466959332465094E-2</v>
      </c>
      <c r="AI66" s="44">
        <f t="shared" si="16"/>
        <v>1.4310723901669736E-3</v>
      </c>
      <c r="AJ66" s="44">
        <f t="shared" si="17"/>
        <v>6.4058017271602583E-2</v>
      </c>
      <c r="AK66" s="44">
        <f t="shared" si="18"/>
        <v>9.8762434042402147E-2</v>
      </c>
      <c r="AL66" s="44">
        <f t="shared" si="19"/>
        <v>9.5012396706102731E-2</v>
      </c>
      <c r="AM66" s="44">
        <f t="shared" si="20"/>
        <v>-0.19796131703504521</v>
      </c>
      <c r="AN66" s="44">
        <f t="shared" si="22"/>
        <v>2.2171200219431447E-3</v>
      </c>
      <c r="AO66" s="44">
        <f t="shared" si="23"/>
        <v>6.6997535796984847E-3</v>
      </c>
      <c r="AP66" s="44">
        <f t="shared" si="24"/>
        <v>-1.8590578597113477E-2</v>
      </c>
      <c r="AQ66" s="44">
        <f t="shared" si="25"/>
        <v>-1.0513426181385517E-2</v>
      </c>
      <c r="AR66" s="44">
        <f t="shared" si="27"/>
        <v>-2.0510393924417732E-3</v>
      </c>
      <c r="AS66" s="553">
        <f t="shared" si="21"/>
        <v>6.3381752902801847E-2</v>
      </c>
      <c r="AT66" s="116">
        <v>1</v>
      </c>
      <c r="AV66" s="7"/>
      <c r="AW66" s="7"/>
    </row>
    <row r="67" spans="1:49" s="6" customFormat="1" ht="11.25" customHeight="1">
      <c r="A67" s="482">
        <f t="shared" si="11"/>
        <v>1988</v>
      </c>
      <c r="B67" s="529">
        <v>9.4563552833078091E-3</v>
      </c>
      <c r="C67" s="113">
        <v>7.5612557427258809E-2</v>
      </c>
      <c r="D67" s="113">
        <v>1.5735068912710565E-2</v>
      </c>
      <c r="E67" s="113">
        <v>0.1653522205206738</v>
      </c>
      <c r="F67" s="113">
        <v>5.8269525267993873E-2</v>
      </c>
      <c r="G67" s="113">
        <v>0.18269525267993875</v>
      </c>
      <c r="H67" s="113">
        <v>0.30551301684532928</v>
      </c>
      <c r="I67" s="113">
        <v>0.15432618683001528</v>
      </c>
      <c r="J67" s="113">
        <v>2.6761102603369061E-2</v>
      </c>
      <c r="K67" s="113">
        <v>4.7090352220520671E-3</v>
      </c>
      <c r="L67" s="113">
        <v>1.5696784073506891E-3</v>
      </c>
      <c r="M67" s="113">
        <v>0</v>
      </c>
      <c r="N67" s="432">
        <v>9408.4241275140394</v>
      </c>
      <c r="O67" s="467">
        <f t="shared" si="28"/>
        <v>0.67557427258805502</v>
      </c>
      <c r="P67" s="482">
        <f t="shared" si="12"/>
        <v>1988</v>
      </c>
      <c r="Q67" s="110">
        <f>B$271*B159/$AC67</f>
        <v>2.7621812194519983E-2</v>
      </c>
      <c r="R67" s="478">
        <f>C$271*C159/$AC67</f>
        <v>6.6067408934786714E-2</v>
      </c>
      <c r="S67" s="478">
        <f>D$271*D159/$AC67</f>
        <v>2.9708322229154635E-2</v>
      </c>
      <c r="T67" s="478">
        <f>E$271*E159/$AC67</f>
        <v>0.12651417218972238</v>
      </c>
      <c r="U67" s="478">
        <f>F$271*F159/$AC67</f>
        <v>4.4380450224486882E-2</v>
      </c>
      <c r="V67" s="478">
        <f>G$271*G159/$AC67</f>
        <v>0.15288355596697253</v>
      </c>
      <c r="W67" s="478">
        <f>H$271*H159/$AC67</f>
        <v>0.29099087104016425</v>
      </c>
      <c r="X67" s="478">
        <f>I$271*I159/$AC67</f>
        <v>0.23211589713964051</v>
      </c>
      <c r="Y67" s="478">
        <f>J$271*J159/$AC67</f>
        <v>7.7590500693978139E-3</v>
      </c>
      <c r="Z67" s="478">
        <f>K$271*K159/$AC67</f>
        <v>1.3044581170118914E-3</v>
      </c>
      <c r="AA67" s="478">
        <f>L$271*L159/$AC67</f>
        <v>1.3109720550870339E-2</v>
      </c>
      <c r="AB67" s="478">
        <f>M$271*M159/$AC67</f>
        <v>7.544281343271759E-3</v>
      </c>
      <c r="AC67" s="114">
        <f>SUMPRODUCT($B$271:$M$271,$B159:$M159)</f>
        <v>686.97171534180359</v>
      </c>
      <c r="AD67" s="114">
        <f t="shared" si="10"/>
        <v>24.494073239146847</v>
      </c>
      <c r="AE67" s="541">
        <f t="shared" si="26"/>
        <v>0.70570783422732908</v>
      </c>
      <c r="AF67" s="67">
        <f t="shared" si="13"/>
        <v>1988</v>
      </c>
      <c r="AG67" s="548">
        <f t="shared" si="14"/>
        <v>-1.8165456911212172E-2</v>
      </c>
      <c r="AH67" s="44">
        <f t="shared" si="15"/>
        <v>9.5451484924720942E-3</v>
      </c>
      <c r="AI67" s="44">
        <f t="shared" si="16"/>
        <v>-1.397325331644407E-2</v>
      </c>
      <c r="AJ67" s="44">
        <f t="shared" si="17"/>
        <v>3.8838048330951419E-2</v>
      </c>
      <c r="AK67" s="44">
        <f t="shared" si="18"/>
        <v>1.388907504350699E-2</v>
      </c>
      <c r="AL67" s="44">
        <f t="shared" si="19"/>
        <v>2.9811696712966212E-2</v>
      </c>
      <c r="AM67" s="44">
        <f t="shared" si="20"/>
        <v>1.4522145805165032E-2</v>
      </c>
      <c r="AN67" s="44">
        <f t="shared" si="22"/>
        <v>-7.7789710309625226E-2</v>
      </c>
      <c r="AO67" s="44">
        <f t="shared" si="23"/>
        <v>1.9002052533971248E-2</v>
      </c>
      <c r="AP67" s="44">
        <f t="shared" si="24"/>
        <v>3.404577105040176E-3</v>
      </c>
      <c r="AQ67" s="44">
        <f t="shared" si="25"/>
        <v>-1.154004214351965E-2</v>
      </c>
      <c r="AR67" s="44">
        <f t="shared" si="27"/>
        <v>-7.544281343271759E-3</v>
      </c>
      <c r="AS67" s="553">
        <f t="shared" si="21"/>
        <v>1.0031272805679831E-2</v>
      </c>
      <c r="AT67" s="116">
        <v>1</v>
      </c>
      <c r="AV67" s="7"/>
      <c r="AW67" s="7"/>
    </row>
    <row r="68" spans="1:49" s="6" customFormat="1" ht="11.25" customHeight="1">
      <c r="A68" s="482">
        <f t="shared" si="11"/>
        <v>1989</v>
      </c>
      <c r="B68" s="529">
        <v>1.4970059880239522E-3</v>
      </c>
      <c r="C68" s="113">
        <v>7.5554772807326517E-2</v>
      </c>
      <c r="D68" s="113">
        <v>8.7750968650933431E-2</v>
      </c>
      <c r="E68" s="113">
        <v>3.6104262064107079E-2</v>
      </c>
      <c r="F68" s="113">
        <v>0.15441176470588236</v>
      </c>
      <c r="G68" s="113">
        <v>5.9616061993659743E-2</v>
      </c>
      <c r="H68" s="113">
        <v>0.16242514970059882</v>
      </c>
      <c r="I68" s="113">
        <v>0.23075907009510391</v>
      </c>
      <c r="J68" s="113">
        <v>0.16828108488904545</v>
      </c>
      <c r="K68" s="113">
        <v>1.0963367382881296E-2</v>
      </c>
      <c r="L68" s="113">
        <v>9.7745685100387465E-3</v>
      </c>
      <c r="M68" s="113">
        <v>2.861923212398732E-3</v>
      </c>
      <c r="N68" s="432">
        <v>8539.3401130353541</v>
      </c>
      <c r="O68" s="467">
        <f t="shared" si="28"/>
        <v>0.64468122578372677</v>
      </c>
      <c r="P68" s="482">
        <f t="shared" si="12"/>
        <v>1989</v>
      </c>
      <c r="Q68" s="110">
        <f>B$271*B160/$AC68</f>
        <v>1.0249225198906057E-2</v>
      </c>
      <c r="R68" s="478">
        <f>C$271*C160/$AC68</f>
        <v>7.1908113225887291E-2</v>
      </c>
      <c r="S68" s="478">
        <f>D$271*D160/$AC68</f>
        <v>0.12167151807235475</v>
      </c>
      <c r="T68" s="478">
        <f>E$271*E160/$AC68</f>
        <v>3.8547718043529071E-2</v>
      </c>
      <c r="U68" s="478">
        <f>F$271*F160/$AC68</f>
        <v>0.13376302233374465</v>
      </c>
      <c r="V68" s="478">
        <f>G$271*G160/$AC68</f>
        <v>4.3841626528514845E-2</v>
      </c>
      <c r="W68" s="478">
        <f>H$271*H160/$AC68</f>
        <v>0.13580780456968203</v>
      </c>
      <c r="X68" s="478">
        <f>I$271*I160/$AC68</f>
        <v>0.24263120980768205</v>
      </c>
      <c r="Y68" s="478">
        <f>J$271*J160/$AC68</f>
        <v>0.18284584825857592</v>
      </c>
      <c r="Z68" s="478">
        <f>K$271*K160/$AC68</f>
        <v>5.4435623570525055E-3</v>
      </c>
      <c r="AA68" s="478">
        <f>L$271*L160/$AC68</f>
        <v>8.6250694638771567E-4</v>
      </c>
      <c r="AB68" s="478">
        <f>M$271*M160/$AC68</f>
        <v>1.2427844657682971E-2</v>
      </c>
      <c r="AC68" s="114">
        <f>SUMPRODUCT($B$271:$M$271,$B160:$M160)</f>
        <v>584.68204827984255</v>
      </c>
      <c r="AD68" s="114">
        <f t="shared" si="10"/>
        <v>22.680355654508428</v>
      </c>
      <c r="AE68" s="541">
        <f t="shared" si="26"/>
        <v>0.62386040312557789</v>
      </c>
      <c r="AF68" s="67">
        <f t="shared" si="13"/>
        <v>1989</v>
      </c>
      <c r="AG68" s="548">
        <f t="shared" si="14"/>
        <v>-8.7522192108821055E-3</v>
      </c>
      <c r="AH68" s="44">
        <f t="shared" si="15"/>
        <v>3.6466595814392266E-3</v>
      </c>
      <c r="AI68" s="44">
        <f t="shared" si="16"/>
        <v>-3.3920549421421323E-2</v>
      </c>
      <c r="AJ68" s="44">
        <f t="shared" si="17"/>
        <v>-2.4434559794219921E-3</v>
      </c>
      <c r="AK68" s="44">
        <f t="shared" si="18"/>
        <v>2.0648742372137707E-2</v>
      </c>
      <c r="AL68" s="44">
        <f t="shared" si="19"/>
        <v>1.5774435465144898E-2</v>
      </c>
      <c r="AM68" s="44">
        <f t="shared" si="20"/>
        <v>2.6617345130916792E-2</v>
      </c>
      <c r="AN68" s="44">
        <f t="shared" si="22"/>
        <v>-1.1872139712578139E-2</v>
      </c>
      <c r="AO68" s="44">
        <f t="shared" si="23"/>
        <v>-1.456476336953047E-2</v>
      </c>
      <c r="AP68" s="44">
        <f t="shared" si="24"/>
        <v>5.5198050258287905E-3</v>
      </c>
      <c r="AQ68" s="44">
        <f t="shared" si="25"/>
        <v>8.912061563651031E-3</v>
      </c>
      <c r="AR68" s="44">
        <f t="shared" si="27"/>
        <v>-9.5659214452842381E-3</v>
      </c>
      <c r="AS68" s="553">
        <f t="shared" si="21"/>
        <v>3.1846400303061828E-3</v>
      </c>
      <c r="AT68" s="116">
        <v>1</v>
      </c>
      <c r="AV68" s="7"/>
      <c r="AW68" s="7"/>
    </row>
    <row r="69" spans="1:49" s="6" customFormat="1" ht="11.25" customHeight="1">
      <c r="A69" s="482">
        <f t="shared" si="11"/>
        <v>1990</v>
      </c>
      <c r="B69" s="529">
        <v>8.0280774900436038E-4</v>
      </c>
      <c r="C69" s="113">
        <v>5.2900747276460247E-3</v>
      </c>
      <c r="D69" s="113">
        <v>6.6106256689610163E-2</v>
      </c>
      <c r="E69" s="113">
        <v>0.1385701961097752</v>
      </c>
      <c r="F69" s="113">
        <v>3.7660494024400908E-2</v>
      </c>
      <c r="G69" s="113">
        <v>0.19089212222799981</v>
      </c>
      <c r="H69" s="113">
        <v>6.3954325193257389E-2</v>
      </c>
      <c r="I69" s="113">
        <v>0.14377413343091722</v>
      </c>
      <c r="J69" s="113">
        <v>0.25407561496871151</v>
      </c>
      <c r="K69" s="113">
        <v>8.681953098091473E-2</v>
      </c>
      <c r="L69" s="113">
        <v>6.9711467764687089E-3</v>
      </c>
      <c r="M69" s="113">
        <v>5.0832971212941159E-3</v>
      </c>
      <c r="N69" s="432">
        <v>8386.9328954649791</v>
      </c>
      <c r="O69" s="467">
        <f t="shared" si="28"/>
        <v>0.75157017069956344</v>
      </c>
      <c r="P69" s="482">
        <f t="shared" si="12"/>
        <v>1990</v>
      </c>
      <c r="Q69" s="110">
        <f>B$271*B161/$AC69</f>
        <v>3.2433120925591238E-2</v>
      </c>
      <c r="R69" s="478">
        <f>C$271*C161/$AC69</f>
        <v>2.6504187815767192E-2</v>
      </c>
      <c r="S69" s="478">
        <f>D$271*D161/$AC69</f>
        <v>0.13141447690671446</v>
      </c>
      <c r="T69" s="478">
        <f>E$271*E161/$AC69</f>
        <v>0.1557734643327576</v>
      </c>
      <c r="U69" s="478">
        <f>F$271*F161/$AC69</f>
        <v>4.0222438121021935E-2</v>
      </c>
      <c r="V69" s="478">
        <f>G$271*G161/$AC69</f>
        <v>0.1305842651188556</v>
      </c>
      <c r="W69" s="478">
        <f>H$271*H161/$AC69</f>
        <v>3.8475771791841362E-2</v>
      </c>
      <c r="X69" s="478">
        <f>I$271*I161/$AC69</f>
        <v>0.11273174856460336</v>
      </c>
      <c r="Y69" s="478">
        <f>J$271*J161/$AC69</f>
        <v>0.18856184480149304</v>
      </c>
      <c r="Z69" s="478">
        <f>K$271*K161/$AC69</f>
        <v>0.1322920475635469</v>
      </c>
      <c r="AA69" s="478">
        <f>L$271*L161/$AC69</f>
        <v>3.6130791330410178E-3</v>
      </c>
      <c r="AB69" s="478">
        <f>M$271*M161/$AC69</f>
        <v>7.3935549247663157E-3</v>
      </c>
      <c r="AC69" s="114">
        <f>SUMPRODUCT($B$271:$M$271,$B161:$M161)</f>
        <v>500.74969046754865</v>
      </c>
      <c r="AD69" s="114">
        <f t="shared" si="10"/>
        <v>22.016908995769231</v>
      </c>
      <c r="AE69" s="541">
        <f t="shared" si="26"/>
        <v>0.61365231189814751</v>
      </c>
      <c r="AF69" s="67">
        <f t="shared" si="13"/>
        <v>1990</v>
      </c>
      <c r="AG69" s="548">
        <f t="shared" si="14"/>
        <v>-3.1630313176586877E-2</v>
      </c>
      <c r="AH69" s="44">
        <f t="shared" si="15"/>
        <v>-2.1214113088121166E-2</v>
      </c>
      <c r="AI69" s="44">
        <f t="shared" si="16"/>
        <v>-6.5308220217104293E-2</v>
      </c>
      <c r="AJ69" s="44">
        <f t="shared" si="17"/>
        <v>-1.7203268222982404E-2</v>
      </c>
      <c r="AK69" s="44">
        <f t="shared" si="18"/>
        <v>-2.5619440966210272E-3</v>
      </c>
      <c r="AL69" s="44">
        <f t="shared" si="19"/>
        <v>6.0307857109144214E-2</v>
      </c>
      <c r="AM69" s="44">
        <f t="shared" si="20"/>
        <v>2.5478553401416026E-2</v>
      </c>
      <c r="AN69" s="44">
        <f t="shared" si="22"/>
        <v>3.104238486631386E-2</v>
      </c>
      <c r="AO69" s="44">
        <f t="shared" si="23"/>
        <v>6.551377016721846E-2</v>
      </c>
      <c r="AP69" s="44">
        <f t="shared" si="24"/>
        <v>-4.5472516582632169E-2</v>
      </c>
      <c r="AQ69" s="44">
        <f t="shared" si="25"/>
        <v>3.3580676434276911E-3</v>
      </c>
      <c r="AR69" s="44">
        <f t="shared" si="27"/>
        <v>-2.3102578034721998E-3</v>
      </c>
      <c r="AS69" s="553">
        <f t="shared" si="21"/>
        <v>1.7644436654807777E-2</v>
      </c>
      <c r="AT69" s="116">
        <v>1</v>
      </c>
      <c r="AV69" s="7"/>
      <c r="AW69" s="7"/>
    </row>
    <row r="70" spans="1:49" s="6" customFormat="1" ht="11.25" customHeight="1">
      <c r="A70" s="482">
        <f t="shared" si="11"/>
        <v>1991</v>
      </c>
      <c r="B70" s="529">
        <v>2.0238526525090426E-2</v>
      </c>
      <c r="C70" s="113">
        <v>1.964402330214653E-3</v>
      </c>
      <c r="D70" s="113">
        <v>8.3560201408084678E-3</v>
      </c>
      <c r="E70" s="113">
        <v>0.10200983688181242</v>
      </c>
      <c r="F70" s="113">
        <v>0.14502275730177161</v>
      </c>
      <c r="G70" s="113">
        <v>4.5214692846413378E-2</v>
      </c>
      <c r="H70" s="113">
        <v>0.18763101709921762</v>
      </c>
      <c r="I70" s="113">
        <v>6.8625124571316504E-2</v>
      </c>
      <c r="J70" s="113">
        <v>0.15447789685463317</v>
      </c>
      <c r="K70" s="113">
        <v>0.1880173933753195</v>
      </c>
      <c r="L70" s="113">
        <v>5.982651236963777E-2</v>
      </c>
      <c r="M70" s="113">
        <v>1.86158197037644E-2</v>
      </c>
      <c r="N70" s="432">
        <v>10693.906432854643</v>
      </c>
      <c r="O70" s="467">
        <f t="shared" si="28"/>
        <v>0.7224084568203023</v>
      </c>
      <c r="P70" s="482">
        <f t="shared" si="12"/>
        <v>1991</v>
      </c>
      <c r="Q70" s="110">
        <f>B$271*B162/$AC70</f>
        <v>0.11630899728361081</v>
      </c>
      <c r="R70" s="478">
        <f>C$271*C162/$AC70</f>
        <v>7.7002607108121707E-2</v>
      </c>
      <c r="S70" s="478">
        <f>D$271*D162/$AC70</f>
        <v>4.4407953785850725E-2</v>
      </c>
      <c r="T70" s="478">
        <f>E$271*E162/$AC70</f>
        <v>0.15421525141776199</v>
      </c>
      <c r="U70" s="478">
        <f>F$271*F162/$AC70</f>
        <v>0.14912422675090622</v>
      </c>
      <c r="V70" s="478">
        <f>G$271*G162/$AC70</f>
        <v>3.6022136532283644E-2</v>
      </c>
      <c r="W70" s="478">
        <f>H$271*H162/$AC70</f>
        <v>0.10488077336337764</v>
      </c>
      <c r="X70" s="478">
        <f>I$271*I162/$AC70</f>
        <v>2.8916617413225751E-2</v>
      </c>
      <c r="Y70" s="478">
        <f>J$271*J162/$AC70</f>
        <v>7.9293959341621589E-2</v>
      </c>
      <c r="Z70" s="478">
        <f>K$271*K162/$AC70</f>
        <v>0.12368184555227607</v>
      </c>
      <c r="AA70" s="478">
        <f>L$271*L162/$AC70</f>
        <v>8.0537911874375853E-2</v>
      </c>
      <c r="AB70" s="478">
        <f>M$271*M162/$AC70</f>
        <v>5.6077195765878822E-3</v>
      </c>
      <c r="AC70" s="114">
        <f>SUMPRODUCT($B$271:$M$271,$B162:$M162)</f>
        <v>466.79626356100641</v>
      </c>
      <c r="AD70" s="114">
        <f t="shared" si="10"/>
        <v>28.985108520050598</v>
      </c>
      <c r="AE70" s="541">
        <f t="shared" si="26"/>
        <v>0.45894096365374848</v>
      </c>
      <c r="AF70" s="67">
        <f t="shared" si="13"/>
        <v>1991</v>
      </c>
      <c r="AG70" s="548">
        <f t="shared" si="14"/>
        <v>-9.607047075852039E-2</v>
      </c>
      <c r="AH70" s="44">
        <f t="shared" si="15"/>
        <v>-7.5038204777907055E-2</v>
      </c>
      <c r="AI70" s="44">
        <f t="shared" si="16"/>
        <v>-3.6051933645042257E-2</v>
      </c>
      <c r="AJ70" s="44">
        <f t="shared" si="17"/>
        <v>-5.2205414535949568E-2</v>
      </c>
      <c r="AK70" s="44">
        <f t="shared" si="18"/>
        <v>-4.1014694491346149E-3</v>
      </c>
      <c r="AL70" s="44">
        <f t="shared" si="19"/>
        <v>9.1925563141297337E-3</v>
      </c>
      <c r="AM70" s="44">
        <f t="shared" si="20"/>
        <v>8.2750243735839973E-2</v>
      </c>
      <c r="AN70" s="44">
        <f t="shared" si="22"/>
        <v>3.9708507158090753E-2</v>
      </c>
      <c r="AO70" s="44">
        <f t="shared" si="23"/>
        <v>7.5183937513011584E-2</v>
      </c>
      <c r="AP70" s="44">
        <f t="shared" si="24"/>
        <v>6.4335547823043432E-2</v>
      </c>
      <c r="AQ70" s="44">
        <f t="shared" si="25"/>
        <v>-2.0711399504738083E-2</v>
      </c>
      <c r="AR70" s="44">
        <f t="shared" si="27"/>
        <v>1.3008100127176517E-2</v>
      </c>
      <c r="AS70" s="553">
        <f t="shared" si="21"/>
        <v>3.7800968188782452E-2</v>
      </c>
      <c r="AT70" s="116">
        <v>1</v>
      </c>
      <c r="AV70" s="7"/>
      <c r="AW70" s="7"/>
    </row>
    <row r="71" spans="1:49" s="6" customFormat="1" ht="11.25" customHeight="1">
      <c r="A71" s="482">
        <f t="shared" si="11"/>
        <v>1992</v>
      </c>
      <c r="B71" s="529">
        <v>0.1990652471020973</v>
      </c>
      <c r="C71" s="113">
        <v>0.31138745001434187</v>
      </c>
      <c r="D71" s="113">
        <v>1.2384632257411377E-2</v>
      </c>
      <c r="E71" s="113">
        <v>1.0326151146506488E-2</v>
      </c>
      <c r="F71" s="113">
        <v>9.1399935883375236E-2</v>
      </c>
      <c r="G71" s="113">
        <v>9.1231207923465008E-2</v>
      </c>
      <c r="H71" s="113">
        <v>2.1900889196348729E-2</v>
      </c>
      <c r="I71" s="113">
        <v>6.0556464811783964E-2</v>
      </c>
      <c r="J71" s="113">
        <v>4.2671301061298871E-2</v>
      </c>
      <c r="K71" s="113">
        <v>4.6214588219413842E-2</v>
      </c>
      <c r="L71" s="113">
        <v>7.6146928307489842E-2</v>
      </c>
      <c r="M71" s="113">
        <v>3.6715204076467514E-2</v>
      </c>
      <c r="N71" s="432">
        <v>18849.506944507444</v>
      </c>
      <c r="O71" s="467">
        <f t="shared" si="28"/>
        <v>0.3754365835962678</v>
      </c>
      <c r="P71" s="482">
        <f t="shared" si="12"/>
        <v>1992</v>
      </c>
      <c r="Q71" s="110">
        <f>B$271*B163/$AC71</f>
        <v>7.8655001239920877E-2</v>
      </c>
      <c r="R71" s="478">
        <f>C$271*C163/$AC71</f>
        <v>0.24734807663056954</v>
      </c>
      <c r="S71" s="478">
        <f>D$271*D163/$AC71</f>
        <v>0.11517880470287016</v>
      </c>
      <c r="T71" s="478">
        <f>E$271*E163/$AC71</f>
        <v>4.6380432604644653E-2</v>
      </c>
      <c r="U71" s="478">
        <f>F$271*F163/$AC71</f>
        <v>0.13037297551046065</v>
      </c>
      <c r="V71" s="478">
        <f>G$271*G163/$AC71</f>
        <v>0.116757971501655</v>
      </c>
      <c r="W71" s="478">
        <f>H$271*H163/$AC71</f>
        <v>2.5276118713128955E-2</v>
      </c>
      <c r="X71" s="478">
        <f>I$271*I163/$AC71</f>
        <v>6.9502794620006095E-2</v>
      </c>
      <c r="Y71" s="478">
        <f>J$271*J163/$AC71</f>
        <v>1.7408503529708044E-2</v>
      </c>
      <c r="Z71" s="478">
        <f>K$271*K163/$AC71</f>
        <v>4.5188521074609259E-2</v>
      </c>
      <c r="AA71" s="478">
        <f>L$271*L163/$AC71</f>
        <v>6.5690668011671977E-2</v>
      </c>
      <c r="AB71" s="478">
        <f>M$271*M163/$AC71</f>
        <v>4.2240131860754843E-2</v>
      </c>
      <c r="AC71" s="114">
        <f>SUMPRODUCT($B$271:$M$271,$B163:$M163)</f>
        <v>484.58402676578072</v>
      </c>
      <c r="AD71" s="114">
        <f t="shared" si="10"/>
        <v>54.919378226109565</v>
      </c>
      <c r="AE71" s="541">
        <f t="shared" si="26"/>
        <v>0.38206470931153413</v>
      </c>
      <c r="AF71" s="67">
        <f t="shared" si="13"/>
        <v>1992</v>
      </c>
      <c r="AG71" s="548">
        <f t="shared" si="14"/>
        <v>0.12041024586217643</v>
      </c>
      <c r="AH71" s="44">
        <f t="shared" si="15"/>
        <v>6.403937338377233E-2</v>
      </c>
      <c r="AI71" s="44">
        <f t="shared" si="16"/>
        <v>-0.10279417244545878</v>
      </c>
      <c r="AJ71" s="44">
        <f t="shared" si="17"/>
        <v>-3.6054281458138167E-2</v>
      </c>
      <c r="AK71" s="44">
        <f t="shared" si="18"/>
        <v>-3.8973039627085412E-2</v>
      </c>
      <c r="AL71" s="44">
        <f t="shared" si="19"/>
        <v>-2.552676357818999E-2</v>
      </c>
      <c r="AM71" s="44">
        <f t="shared" si="20"/>
        <v>-3.3752295167802267E-3</v>
      </c>
      <c r="AN71" s="44">
        <f t="shared" si="22"/>
        <v>-8.946329808222131E-3</v>
      </c>
      <c r="AO71" s="44">
        <f t="shared" si="23"/>
        <v>2.5262797531590827E-2</v>
      </c>
      <c r="AP71" s="44">
        <f t="shared" si="24"/>
        <v>1.0260671448045836E-3</v>
      </c>
      <c r="AQ71" s="44">
        <f t="shared" si="25"/>
        <v>1.0456260295817865E-2</v>
      </c>
      <c r="AR71" s="44">
        <f t="shared" si="27"/>
        <v>-5.5249277842873284E-3</v>
      </c>
      <c r="AS71" s="553">
        <f t="shared" si="21"/>
        <v>3.3507284179368227E-2</v>
      </c>
      <c r="AT71" s="116">
        <v>1</v>
      </c>
      <c r="AV71" s="7"/>
      <c r="AW71" s="7"/>
    </row>
    <row r="72" spans="1:49" s="6" customFormat="1" ht="11.25" customHeight="1">
      <c r="A72" s="482">
        <f t="shared" si="11"/>
        <v>1993</v>
      </c>
      <c r="B72" s="530">
        <v>1.15945611866502E-2</v>
      </c>
      <c r="C72" s="117">
        <v>0.15369592088998768</v>
      </c>
      <c r="D72" s="117">
        <v>0.35297898640296671</v>
      </c>
      <c r="E72" s="117">
        <v>2.4128553770086533E-2</v>
      </c>
      <c r="F72" s="117">
        <v>1.520395550061805E-2</v>
      </c>
      <c r="G72" s="117">
        <v>0.11854140914709521</v>
      </c>
      <c r="H72" s="117">
        <v>0.11156983930778742</v>
      </c>
      <c r="I72" s="117">
        <v>3.1569839307787395E-2</v>
      </c>
      <c r="J72" s="117">
        <v>5.6786155747836853E-2</v>
      </c>
      <c r="K72" s="117">
        <v>2.402966625463536E-2</v>
      </c>
      <c r="L72" s="117">
        <v>2.7169344870210142E-2</v>
      </c>
      <c r="M72" s="117">
        <v>7.2731767614338708E-2</v>
      </c>
      <c r="N72" s="432">
        <v>13028.095544810445</v>
      </c>
      <c r="O72" s="467">
        <f t="shared" si="28"/>
        <v>0.4423980222496911</v>
      </c>
      <c r="P72" s="482">
        <f t="shared" si="12"/>
        <v>1993</v>
      </c>
      <c r="Q72" s="110">
        <f>B$271*B164/$AC72</f>
        <v>3.6746338604960689E-2</v>
      </c>
      <c r="R72" s="478">
        <f>C$271*C164/$AC72</f>
        <v>0.16246527679252518</v>
      </c>
      <c r="S72" s="478">
        <f>D$271*D164/$AC72</f>
        <v>0.35469582005302919</v>
      </c>
      <c r="T72" s="478">
        <f>E$271*E164/$AC72</f>
        <v>0.11357131320374801</v>
      </c>
      <c r="U72" s="478">
        <f>F$271*F164/$AC72</f>
        <v>3.6253595960578047E-2</v>
      </c>
      <c r="V72" s="478">
        <f>G$271*G164/$AC72</f>
        <v>9.1688902750238208E-2</v>
      </c>
      <c r="W72" s="478">
        <f>H$271*H164/$AC72</f>
        <v>7.3068170223061488E-2</v>
      </c>
      <c r="X72" s="478">
        <f>I$271*I164/$AC72</f>
        <v>1.5274980959109773E-2</v>
      </c>
      <c r="Y72" s="478">
        <f>J$271*J164/$AC72</f>
        <v>3.9111906972188665E-2</v>
      </c>
      <c r="Z72" s="478">
        <f>K$271*K164/$AC72</f>
        <v>8.6920739025544702E-3</v>
      </c>
      <c r="AA72" s="478">
        <f>L$271*L164/$AC72</f>
        <v>2.1913388096419968E-2</v>
      </c>
      <c r="AB72" s="478">
        <f>M$271*M164/$AC72</f>
        <v>4.6518232481586326E-2</v>
      </c>
      <c r="AC72" s="114">
        <f>SUMPRODUCT($B$271:$M$271,$B164:$M164)</f>
        <v>514.39522181826612</v>
      </c>
      <c r="AD72" s="114">
        <f t="shared" si="10"/>
        <v>43.990275909684307</v>
      </c>
      <c r="AE72" s="541">
        <f t="shared" si="26"/>
        <v>0.29626765538515892</v>
      </c>
      <c r="AF72" s="67">
        <f t="shared" si="13"/>
        <v>1993</v>
      </c>
      <c r="AG72" s="548">
        <f t="shared" si="14"/>
        <v>-2.5151777418310491E-2</v>
      </c>
      <c r="AH72" s="44">
        <f t="shared" si="15"/>
        <v>-8.7693559025374956E-3</v>
      </c>
      <c r="AI72" s="44">
        <f t="shared" si="16"/>
        <v>-1.716833650062477E-3</v>
      </c>
      <c r="AJ72" s="44">
        <f t="shared" si="17"/>
        <v>-8.9442759433661478E-2</v>
      </c>
      <c r="AK72" s="44">
        <f t="shared" si="18"/>
        <v>-2.1049640459959995E-2</v>
      </c>
      <c r="AL72" s="44">
        <f t="shared" si="19"/>
        <v>2.6852506396857004E-2</v>
      </c>
      <c r="AM72" s="44">
        <f t="shared" si="20"/>
        <v>3.8501669084725937E-2</v>
      </c>
      <c r="AN72" s="44">
        <f t="shared" si="22"/>
        <v>1.6294858348677624E-2</v>
      </c>
      <c r="AO72" s="44">
        <f t="shared" si="23"/>
        <v>1.7674248775648188E-2</v>
      </c>
      <c r="AP72" s="118">
        <f t="shared" si="24"/>
        <v>1.5337592352080889E-2</v>
      </c>
      <c r="AQ72" s="44">
        <f t="shared" si="25"/>
        <v>5.2559567737901734E-3</v>
      </c>
      <c r="AR72" s="44">
        <f t="shared" si="27"/>
        <v>2.6213535132752382E-2</v>
      </c>
      <c r="AS72" s="553">
        <f t="shared" si="21"/>
        <v>1.2886908952041577E-2</v>
      </c>
      <c r="AT72" s="116">
        <v>1</v>
      </c>
      <c r="AV72" s="7"/>
      <c r="AW72" s="7"/>
    </row>
    <row r="73" spans="1:49" s="6" customFormat="1" ht="11.25" customHeight="1">
      <c r="A73" s="482">
        <f t="shared" si="11"/>
        <v>1994</v>
      </c>
      <c r="B73" s="530">
        <v>4.4999999999999997E-3</v>
      </c>
      <c r="C73" s="117">
        <v>2.8400000000000002E-2</v>
      </c>
      <c r="D73" s="117">
        <v>0.1736</v>
      </c>
      <c r="E73" s="117">
        <v>0.36020000000000002</v>
      </c>
      <c r="F73" s="117">
        <v>3.4000000000000002E-2</v>
      </c>
      <c r="G73" s="117">
        <v>2.3599999999999999E-2</v>
      </c>
      <c r="H73" s="117">
        <v>0.1069</v>
      </c>
      <c r="I73" s="117">
        <v>9.0700000000000003E-2</v>
      </c>
      <c r="J73" s="117">
        <v>4.0099999999999997E-2</v>
      </c>
      <c r="K73" s="117">
        <v>3.04E-2</v>
      </c>
      <c r="L73" s="117">
        <v>2.4799999999999999E-2</v>
      </c>
      <c r="M73" s="117">
        <v>8.2699999999999996E-2</v>
      </c>
      <c r="N73" s="432">
        <v>20610</v>
      </c>
      <c r="O73" s="467">
        <f t="shared" si="28"/>
        <v>0.39919999999999994</v>
      </c>
      <c r="P73" s="482">
        <f t="shared" si="12"/>
        <v>1994</v>
      </c>
      <c r="Q73" s="110">
        <f>B$271*B165/$AC73</f>
        <v>3.6764757468929134E-2</v>
      </c>
      <c r="R73" s="478">
        <f>C$271*C165/$AC73</f>
        <v>7.6608445295219513E-2</v>
      </c>
      <c r="S73" s="478">
        <f>D$271*D165/$AC73</f>
        <v>0.23682484098695625</v>
      </c>
      <c r="T73" s="478">
        <f>E$271*E165/$AC73</f>
        <v>0.35794662908038732</v>
      </c>
      <c r="U73" s="478">
        <f>F$271*F165/$AC73</f>
        <v>9.3279567401199623E-2</v>
      </c>
      <c r="V73" s="478">
        <f>G$271*G165/$AC73</f>
        <v>2.758430608300505E-2</v>
      </c>
      <c r="W73" s="478">
        <f>H$271*H165/$AC73</f>
        <v>6.1409875052207616E-2</v>
      </c>
      <c r="X73" s="478">
        <f>I$271*I165/$AC73</f>
        <v>4.5740278598652075E-2</v>
      </c>
      <c r="Y73" s="478">
        <f>J$271*J165/$AC73</f>
        <v>8.6554839212048904E-3</v>
      </c>
      <c r="Z73" s="478">
        <f>K$271*K165/$AC73</f>
        <v>2.1297881282259682E-2</v>
      </c>
      <c r="AA73" s="478">
        <f>L$271*L165/$AC73</f>
        <v>4.1059499559102019E-3</v>
      </c>
      <c r="AB73" s="478">
        <f>M$271*M165/$AC73</f>
        <v>2.978198487406879E-2</v>
      </c>
      <c r="AC73" s="114">
        <f>SUMPRODUCT($B$271:$M$271,$B165:$M165)</f>
        <v>543.04284674911582</v>
      </c>
      <c r="AD73" s="114">
        <f t="shared" si="10"/>
        <v>65.595582990446104</v>
      </c>
      <c r="AE73" s="541">
        <f t="shared" si="26"/>
        <v>0.19857575976730832</v>
      </c>
      <c r="AF73" s="67">
        <f t="shared" si="13"/>
        <v>1994</v>
      </c>
      <c r="AG73" s="549">
        <f t="shared" si="14"/>
        <v>-3.2264757468929137E-2</v>
      </c>
      <c r="AH73" s="119">
        <f t="shared" si="15"/>
        <v>-4.8208445295219511E-2</v>
      </c>
      <c r="AI73" s="119">
        <f t="shared" si="16"/>
        <v>-6.3224840986956243E-2</v>
      </c>
      <c r="AJ73" s="119">
        <f t="shared" si="17"/>
        <v>2.2533709196126961E-3</v>
      </c>
      <c r="AK73" s="119">
        <f t="shared" si="18"/>
        <v>-5.927956740119962E-2</v>
      </c>
      <c r="AL73" s="119">
        <f t="shared" si="19"/>
        <v>-3.9843060830050507E-3</v>
      </c>
      <c r="AM73" s="119">
        <f t="shared" si="20"/>
        <v>4.5490124947792379E-2</v>
      </c>
      <c r="AN73" s="119">
        <f t="shared" si="22"/>
        <v>4.4959721401347928E-2</v>
      </c>
      <c r="AO73" s="119">
        <f t="shared" si="23"/>
        <v>3.1444516078795108E-2</v>
      </c>
      <c r="AP73" s="119">
        <f t="shared" si="24"/>
        <v>9.1021187177403179E-3</v>
      </c>
      <c r="AQ73" s="119">
        <f t="shared" si="25"/>
        <v>2.0694050044089796E-2</v>
      </c>
      <c r="AR73" s="44">
        <f t="shared" si="27"/>
        <v>5.2918015125931209E-2</v>
      </c>
      <c r="AS73" s="553">
        <f t="shared" si="21"/>
        <v>1.9288362981804291E-2</v>
      </c>
      <c r="AT73" s="116">
        <v>1</v>
      </c>
      <c r="AV73" s="7"/>
      <c r="AW73" s="7"/>
    </row>
    <row r="74" spans="1:49" s="6" customFormat="1" ht="11.25" customHeight="1">
      <c r="A74" s="482">
        <f t="shared" si="11"/>
        <v>1995</v>
      </c>
      <c r="B74" s="531">
        <f>1.2/100</f>
        <v>1.2E-2</v>
      </c>
      <c r="C74" s="120">
        <f>5.5/100</f>
        <v>5.5E-2</v>
      </c>
      <c r="D74" s="120">
        <f>9.2/100</f>
        <v>9.1999999999999998E-2</v>
      </c>
      <c r="E74" s="120">
        <f>26/100</f>
        <v>0.26</v>
      </c>
      <c r="F74" s="120">
        <f>30.1/100</f>
        <v>0.30099999999999999</v>
      </c>
      <c r="G74" s="121">
        <f>5.3/100</f>
        <v>5.2999999999999999E-2</v>
      </c>
      <c r="H74" s="121">
        <f>2.1/100</f>
        <v>2.1000000000000001E-2</v>
      </c>
      <c r="I74" s="121">
        <f>5.2/100</f>
        <v>5.2000000000000005E-2</v>
      </c>
      <c r="J74" s="121">
        <f>5.2/100</f>
        <v>5.2000000000000005E-2</v>
      </c>
      <c r="K74" s="121">
        <f>2.8/100</f>
        <v>2.7999999999999997E-2</v>
      </c>
      <c r="L74" s="121">
        <f>1.9/100</f>
        <v>1.9E-2</v>
      </c>
      <c r="M74" s="121">
        <f>5.21/100</f>
        <v>5.21E-2</v>
      </c>
      <c r="N74" s="433">
        <f>19737/1.1023</f>
        <v>17905.288941304545</v>
      </c>
      <c r="O74" s="467">
        <f t="shared" si="28"/>
        <v>0.27709999999999996</v>
      </c>
      <c r="P74" s="482">
        <v>1995</v>
      </c>
      <c r="Q74" s="110">
        <f>B$271*B166/$AC74</f>
        <v>4.0829698131879991E-2</v>
      </c>
      <c r="R74" s="478">
        <f>C$271*C166/$AC74</f>
        <v>8.4446115160988405E-2</v>
      </c>
      <c r="S74" s="478">
        <f>D$271*D166/$AC74</f>
        <v>0.1219600561351441</v>
      </c>
      <c r="T74" s="478">
        <f>E$271*E166/$AC74</f>
        <v>0.25714509041195693</v>
      </c>
      <c r="U74" s="478">
        <f>F$271*F166/$AC74</f>
        <v>0.31070605308002303</v>
      </c>
      <c r="V74" s="478">
        <f>G$271*G166/$AC74</f>
        <v>7.581381682530644E-2</v>
      </c>
      <c r="W74" s="478">
        <f>H$271*H166/$AC74</f>
        <v>1.7675125442422276E-2</v>
      </c>
      <c r="X74" s="478">
        <f>I$271*I166/$AC74</f>
        <v>3.719546228754797E-2</v>
      </c>
      <c r="Y74" s="478">
        <f>J$271*J166/$AC74</f>
        <v>2.6044910291199826E-2</v>
      </c>
      <c r="Z74" s="478">
        <f>K$271*K166/$AC74</f>
        <v>3.9692949827664819E-3</v>
      </c>
      <c r="AA74" s="478">
        <f>L$271*L166/$AC74</f>
        <v>1.0725232170690905E-2</v>
      </c>
      <c r="AB74" s="478">
        <f>M$271*M166/$AC74</f>
        <v>1.3489145080073435E-2</v>
      </c>
      <c r="AC74" s="114">
        <f>SUMPRODUCT($B$271:$M$271,$B166:$M166)</f>
        <v>517.86633531269058</v>
      </c>
      <c r="AD74" s="114">
        <f t="shared" si="10"/>
        <v>59.09368735859168</v>
      </c>
      <c r="AE74" s="541">
        <f t="shared" si="26"/>
        <v>0.18491298708000733</v>
      </c>
      <c r="AF74" s="67">
        <f t="shared" si="13"/>
        <v>1995</v>
      </c>
      <c r="AG74" s="549">
        <f t="shared" si="14"/>
        <v>-2.882969813187999E-2</v>
      </c>
      <c r="AH74" s="119">
        <f t="shared" si="15"/>
        <v>-2.9446115160988405E-2</v>
      </c>
      <c r="AI74" s="119">
        <f t="shared" si="16"/>
        <v>-2.9960056135144103E-2</v>
      </c>
      <c r="AJ74" s="119">
        <f t="shared" si="17"/>
        <v>2.8549095880430753E-3</v>
      </c>
      <c r="AK74" s="119">
        <f t="shared" si="18"/>
        <v>-9.706053080023036E-3</v>
      </c>
      <c r="AL74" s="119">
        <f t="shared" si="19"/>
        <v>-2.2813816825306442E-2</v>
      </c>
      <c r="AM74" s="119">
        <f t="shared" si="20"/>
        <v>3.3248745575777255E-3</v>
      </c>
      <c r="AN74" s="119">
        <f t="shared" si="22"/>
        <v>1.4804537712452034E-2</v>
      </c>
      <c r="AO74" s="119">
        <f t="shared" si="23"/>
        <v>2.5955089708800179E-2</v>
      </c>
      <c r="AP74" s="119">
        <f t="shared" si="24"/>
        <v>2.4030705017233516E-2</v>
      </c>
      <c r="AQ74" s="119">
        <f t="shared" si="25"/>
        <v>8.2747678293090942E-3</v>
      </c>
      <c r="AR74" s="44">
        <f t="shared" si="27"/>
        <v>3.8610854919926565E-2</v>
      </c>
      <c r="AS74" s="553">
        <f t="shared" si="21"/>
        <v>6.2592988627540487E-3</v>
      </c>
      <c r="AT74" s="116">
        <v>1</v>
      </c>
      <c r="AU74" s="7"/>
      <c r="AV74" s="7"/>
      <c r="AW74" s="7"/>
    </row>
    <row r="75" spans="1:49" s="6" customFormat="1" ht="11.25" customHeight="1">
      <c r="A75" s="482">
        <v>1996</v>
      </c>
      <c r="B75" s="532">
        <f>0.3/100</f>
        <v>3.0000000000000001E-3</v>
      </c>
      <c r="C75" s="121">
        <f>5/100</f>
        <v>0.05</v>
      </c>
      <c r="D75" s="121">
        <f>7/100</f>
        <v>7.0000000000000007E-2</v>
      </c>
      <c r="E75" s="121">
        <f>8.8/100</f>
        <v>8.8000000000000009E-2</v>
      </c>
      <c r="F75" s="121">
        <f>22.7/100</f>
        <v>0.22699999999999998</v>
      </c>
      <c r="G75" s="121">
        <f>25.5/100</f>
        <v>0.255</v>
      </c>
      <c r="H75" s="121">
        <f>7.6/100</f>
        <v>7.5999999999999998E-2</v>
      </c>
      <c r="I75" s="121">
        <f>4.6/100</f>
        <v>4.5999999999999999E-2</v>
      </c>
      <c r="J75" s="121">
        <f>5.2/100</f>
        <v>5.2000000000000005E-2</v>
      </c>
      <c r="K75" s="121">
        <f>5.3/100</f>
        <v>5.2999999999999999E-2</v>
      </c>
      <c r="L75" s="121">
        <f>3.4/100</f>
        <v>3.4000000000000002E-2</v>
      </c>
      <c r="M75" s="121">
        <f>4.5/100</f>
        <v>4.4999999999999998E-2</v>
      </c>
      <c r="N75" s="433">
        <f>(17865)/1.1023</f>
        <v>16207.021681937766</v>
      </c>
      <c r="O75" s="467">
        <f t="shared" si="28"/>
        <v>0.56100000000000005</v>
      </c>
      <c r="P75" s="482">
        <v>1996</v>
      </c>
      <c r="Q75" s="110">
        <f>B$271*B167/$AC75</f>
        <v>3.0421628678842388E-2</v>
      </c>
      <c r="R75" s="478">
        <f>C$271*C167/$AC75</f>
        <v>9.5696335378403163E-2</v>
      </c>
      <c r="S75" s="478">
        <f>D$271*D167/$AC75</f>
        <v>0.1375092241892247</v>
      </c>
      <c r="T75" s="478">
        <f>E$271*E167/$AC75</f>
        <v>0.13656039122384825</v>
      </c>
      <c r="U75" s="478">
        <f>F$271*F167/$AC75</f>
        <v>0.23215942301138759</v>
      </c>
      <c r="V75" s="478">
        <f>G$271*G167/$AC75</f>
        <v>0.25835634648580591</v>
      </c>
      <c r="W75" s="478">
        <f>H$271*H167/$AC75</f>
        <v>5.6366234615260878E-2</v>
      </c>
      <c r="X75" s="478">
        <f>I$271*I167/$AC75</f>
        <v>1.0985869157807563E-2</v>
      </c>
      <c r="Y75" s="478">
        <f>J$271*J167/$AC75</f>
        <v>2.1246312836013945E-2</v>
      </c>
      <c r="Z75" s="478">
        <f>K$271*K167/$AC75</f>
        <v>1.2672431385016086E-2</v>
      </c>
      <c r="AA75" s="478">
        <f>L$271*L167/$AC75</f>
        <v>4.9187409184636343E-9</v>
      </c>
      <c r="AB75" s="478">
        <f>M$271*M167/$AC75</f>
        <v>8.0257981196485556E-3</v>
      </c>
      <c r="AC75" s="114">
        <f>SUMPRODUCT($B$271:$M$271,$B167:$M167)</f>
        <v>484.42067718922232</v>
      </c>
      <c r="AD75" s="114">
        <f t="shared" si="10"/>
        <v>51.078062315393836</v>
      </c>
      <c r="AE75" s="542">
        <f t="shared" si="26"/>
        <v>0.36765299751829389</v>
      </c>
      <c r="AF75" s="67">
        <v>1996</v>
      </c>
      <c r="AG75" s="549">
        <f t="shared" si="14"/>
        <v>-2.7421628678842389E-2</v>
      </c>
      <c r="AH75" s="119">
        <f t="shared" si="15"/>
        <v>-4.5696335378403161E-2</v>
      </c>
      <c r="AI75" s="119">
        <f t="shared" si="16"/>
        <v>-6.7509224189224698E-2</v>
      </c>
      <c r="AJ75" s="119">
        <f t="shared" si="17"/>
        <v>-4.856039122384824E-2</v>
      </c>
      <c r="AK75" s="119">
        <f t="shared" si="18"/>
        <v>-5.1594230113876094E-3</v>
      </c>
      <c r="AL75" s="119">
        <f t="shared" si="19"/>
        <v>-3.3563464858059056E-3</v>
      </c>
      <c r="AM75" s="119">
        <f t="shared" si="20"/>
        <v>1.963376538473912E-2</v>
      </c>
      <c r="AN75" s="119">
        <f t="shared" si="22"/>
        <v>3.5014130842192438E-2</v>
      </c>
      <c r="AO75" s="119">
        <f t="shared" si="23"/>
        <v>3.0753687163986059E-2</v>
      </c>
      <c r="AP75" s="119">
        <f t="shared" si="24"/>
        <v>4.0327568614983912E-2</v>
      </c>
      <c r="AQ75" s="119">
        <f t="shared" si="25"/>
        <v>3.3999995081259081E-2</v>
      </c>
      <c r="AR75" s="44">
        <f t="shared" si="27"/>
        <v>3.6974201880351443E-2</v>
      </c>
      <c r="AS75" s="553">
        <f t="shared" si="21"/>
        <v>1.6500259877011564E-2</v>
      </c>
      <c r="AT75" s="116">
        <v>1</v>
      </c>
      <c r="AU75" s="7"/>
      <c r="AV75" s="7"/>
      <c r="AW75" s="7"/>
    </row>
    <row r="76" spans="1:49" ht="11.25" customHeight="1">
      <c r="A76" s="482">
        <v>1997</v>
      </c>
      <c r="B76" s="533">
        <v>0.11409999999999999</v>
      </c>
      <c r="C76" s="122">
        <v>9.0999999999999998E-2</v>
      </c>
      <c r="D76" s="122">
        <v>0.16700000000000001</v>
      </c>
      <c r="E76" s="122">
        <v>0.14799999999999999</v>
      </c>
      <c r="F76" s="122">
        <v>8.5999999999999993E-2</v>
      </c>
      <c r="G76" s="122">
        <v>0.16</v>
      </c>
      <c r="H76" s="122">
        <v>0.13</v>
      </c>
      <c r="I76" s="122">
        <v>3.5999999999999997E-2</v>
      </c>
      <c r="J76" s="122">
        <v>1.7000000000000001E-2</v>
      </c>
      <c r="K76" s="122">
        <v>1.7999999999999999E-2</v>
      </c>
      <c r="L76" s="122">
        <v>1.6E-2</v>
      </c>
      <c r="M76" s="122">
        <v>1.9E-2</v>
      </c>
      <c r="N76" s="433">
        <f>18649/1.1023</f>
        <v>16918.261816202485</v>
      </c>
      <c r="O76" s="467">
        <f t="shared" si="28"/>
        <v>0.39600000000000007</v>
      </c>
      <c r="P76" s="482">
        <v>1997</v>
      </c>
      <c r="Q76" s="110">
        <f>B$271*B168/$AC76</f>
        <v>5.5590561854586759E-2</v>
      </c>
      <c r="R76" s="478">
        <f>C$271*C168/$AC76</f>
        <v>7.0844558611803513E-2</v>
      </c>
      <c r="S76" s="478">
        <f>D$271*D168/$AC76</f>
        <v>0.15521456372491849</v>
      </c>
      <c r="T76" s="478">
        <f>E$271*E168/$AC76</f>
        <v>0.15370040849579333</v>
      </c>
      <c r="U76" s="478">
        <f>F$271*F168/$AC76</f>
        <v>0.12324676262066531</v>
      </c>
      <c r="V76" s="478">
        <f>G$271*G168/$AC76</f>
        <v>0.19336463786209393</v>
      </c>
      <c r="W76" s="478">
        <f>H$271*H168/$AC76</f>
        <v>0.18893901271708985</v>
      </c>
      <c r="X76" s="478">
        <f>I$271*I168/$AC76</f>
        <v>3.6732563853115845E-2</v>
      </c>
      <c r="Y76" s="478">
        <f>J$271*J168/$AC76</f>
        <v>5.1270781817000424E-3</v>
      </c>
      <c r="Z76" s="478">
        <f>K$271*K168/$AC76</f>
        <v>1.1195168452250531E-2</v>
      </c>
      <c r="AA76" s="478">
        <f>L$271*L168/$AC76</f>
        <v>4.7633259098194434E-3</v>
      </c>
      <c r="AB76" s="478">
        <f>M$271*M168/$AC76</f>
        <v>1.281357716162901E-3</v>
      </c>
      <c r="AC76" s="114">
        <f>SUMPRODUCT($B$271:$M$271,$B168:$M168)</f>
        <v>456.59532769143033</v>
      </c>
      <c r="AD76" s="114">
        <f t="shared" si="10"/>
        <v>56.921695924208919</v>
      </c>
      <c r="AE76" s="542">
        <f t="shared" si="26"/>
        <v>0.44140314469223257</v>
      </c>
      <c r="AF76" s="67">
        <v>1997</v>
      </c>
      <c r="AG76" s="549">
        <f t="shared" si="14"/>
        <v>5.8509438145413234E-2</v>
      </c>
      <c r="AH76" s="119">
        <f t="shared" si="15"/>
        <v>2.0155441388196485E-2</v>
      </c>
      <c r="AI76" s="119">
        <f t="shared" si="16"/>
        <v>1.1785436275081523E-2</v>
      </c>
      <c r="AJ76" s="119">
        <f t="shared" si="17"/>
        <v>-5.700408495793341E-3</v>
      </c>
      <c r="AK76" s="119">
        <f t="shared" si="18"/>
        <v>-3.7246762620665314E-2</v>
      </c>
      <c r="AL76" s="119">
        <f t="shared" si="19"/>
        <v>-3.3364637862093927E-2</v>
      </c>
      <c r="AM76" s="119">
        <f t="shared" si="20"/>
        <v>-5.8939012717089845E-2</v>
      </c>
      <c r="AN76" s="119">
        <f t="shared" si="22"/>
        <v>-7.3256385311584737E-4</v>
      </c>
      <c r="AO76" s="119">
        <f t="shared" si="23"/>
        <v>1.1872921818299959E-2</v>
      </c>
      <c r="AP76" s="119">
        <f t="shared" si="24"/>
        <v>6.8048315477494681E-3</v>
      </c>
      <c r="AQ76" s="119">
        <f t="shared" si="25"/>
        <v>1.1236674090180556E-2</v>
      </c>
      <c r="AR76" s="44">
        <f t="shared" si="27"/>
        <v>1.7718642283837099E-2</v>
      </c>
      <c r="AS76" s="553">
        <f t="shared" si="21"/>
        <v>1.060333672399914E-2</v>
      </c>
      <c r="AT76" s="116">
        <v>1</v>
      </c>
      <c r="AU76" s="6"/>
    </row>
    <row r="77" spans="1:49" ht="11.25" customHeight="1">
      <c r="A77" s="482">
        <v>1998</v>
      </c>
      <c r="B77" s="534">
        <f>0.1/100</f>
        <v>1E-3</v>
      </c>
      <c r="C77" s="121">
        <f>6.8/100</f>
        <v>6.8000000000000005E-2</v>
      </c>
      <c r="D77" s="121">
        <f>6.3/100</f>
        <v>6.3E-2</v>
      </c>
      <c r="E77" s="121">
        <f>12.1/100</f>
        <v>0.121</v>
      </c>
      <c r="F77" s="121">
        <f>11.5/100</f>
        <v>0.115</v>
      </c>
      <c r="G77" s="121">
        <f>11.3/100</f>
        <v>0.113</v>
      </c>
      <c r="H77" s="121">
        <f>14.6/100</f>
        <v>0.14599999999999999</v>
      </c>
      <c r="I77" s="121">
        <f>17.9/100</f>
        <v>0.17899999999999999</v>
      </c>
      <c r="J77" s="121">
        <f>9.6/100</f>
        <v>9.6000000000000002E-2</v>
      </c>
      <c r="K77" s="121">
        <f>3.3/100</f>
        <v>3.3000000000000002E-2</v>
      </c>
      <c r="L77" s="121">
        <f>3.2/100</f>
        <v>3.2000000000000001E-2</v>
      </c>
      <c r="M77" s="121">
        <f>3.3/100</f>
        <v>3.3000000000000002E-2</v>
      </c>
      <c r="N77" s="433">
        <f>16824/1.1023</f>
        <v>15262.632677129637</v>
      </c>
      <c r="O77" s="467">
        <f t="shared" si="28"/>
        <v>0.63200000000000012</v>
      </c>
      <c r="P77" s="482">
        <v>1998</v>
      </c>
      <c r="Q77" s="110">
        <f>B$271*B169/$AC77</f>
        <v>1.1340566671095476E-2</v>
      </c>
      <c r="R77" s="478">
        <f>C$271*C169/$AC77</f>
        <v>0.13505977938752969</v>
      </c>
      <c r="S77" s="478">
        <f>D$271*D169/$AC77</f>
        <v>0.11929942736953367</v>
      </c>
      <c r="T77" s="478">
        <f>E$271*E169/$AC77</f>
        <v>0.17884978626608583</v>
      </c>
      <c r="U77" s="478">
        <f>F$271*F169/$AC77</f>
        <v>0.14209288891821345</v>
      </c>
      <c r="V77" s="478">
        <f>G$271*G169/$AC77</f>
        <v>0.10571713006416952</v>
      </c>
      <c r="W77" s="478">
        <f>H$271*H169/$AC77</f>
        <v>0.1448991833762926</v>
      </c>
      <c r="X77" s="478">
        <f>I$271*I169/$AC77</f>
        <v>0.13273397445960614</v>
      </c>
      <c r="Y77" s="478">
        <f>J$271*J169/$AC77</f>
        <v>2.1478490712984136E-2</v>
      </c>
      <c r="Z77" s="478">
        <f>K$271*K169/$AC77</f>
        <v>2.2240141190583099E-3</v>
      </c>
      <c r="AA77" s="478">
        <f>L$271*L169/$AC77</f>
        <v>5.383097125679949E-3</v>
      </c>
      <c r="AB77" s="478">
        <f>M$271*M169/$AC77</f>
        <v>9.2166152975112973E-4</v>
      </c>
      <c r="AC77" s="114">
        <f>SUMPRODUCT($B$271:$M$271,$B169:$M169)</f>
        <v>411.37517635282705</v>
      </c>
      <c r="AD77" s="114">
        <f t="shared" si="10"/>
        <v>48.066621130008507</v>
      </c>
      <c r="AE77" s="542">
        <f t="shared" si="26"/>
        <v>0.41335755138754177</v>
      </c>
      <c r="AF77" s="67">
        <v>1998</v>
      </c>
      <c r="AG77" s="549">
        <f t="shared" si="14"/>
        <v>-1.0340566671095477E-2</v>
      </c>
      <c r="AH77" s="119">
        <f t="shared" si="15"/>
        <v>-6.7059779387529689E-2</v>
      </c>
      <c r="AI77" s="119">
        <f t="shared" si="16"/>
        <v>-5.6299427369533667E-2</v>
      </c>
      <c r="AJ77" s="119">
        <f t="shared" si="17"/>
        <v>-5.7849786266085834E-2</v>
      </c>
      <c r="AK77" s="119">
        <f t="shared" si="18"/>
        <v>-2.7092888918213445E-2</v>
      </c>
      <c r="AL77" s="119">
        <f t="shared" si="19"/>
        <v>7.2828699358304799E-3</v>
      </c>
      <c r="AM77" s="119">
        <f t="shared" si="20"/>
        <v>1.1008166237073957E-3</v>
      </c>
      <c r="AN77" s="119">
        <f t="shared" si="22"/>
        <v>4.6266025540393857E-2</v>
      </c>
      <c r="AO77" s="119">
        <f t="shared" si="23"/>
        <v>7.4521509287015869E-2</v>
      </c>
      <c r="AP77" s="119">
        <f t="shared" si="24"/>
        <v>3.0775985880941693E-2</v>
      </c>
      <c r="AQ77" s="119">
        <f t="shared" si="25"/>
        <v>2.6616902874320052E-2</v>
      </c>
      <c r="AR77" s="44">
        <f t="shared" si="27"/>
        <v>3.2078338470248872E-2</v>
      </c>
      <c r="AS77" s="553">
        <f t="shared" si="21"/>
        <v>2.2287082335724569E-2</v>
      </c>
      <c r="AT77" s="116">
        <v>1</v>
      </c>
    </row>
    <row r="78" spans="1:49" ht="11.25" customHeight="1">
      <c r="A78" s="482">
        <v>1999</v>
      </c>
      <c r="B78" s="535">
        <v>0.01</v>
      </c>
      <c r="C78" s="123">
        <f>2.5/100</f>
        <v>2.5000000000000001E-2</v>
      </c>
      <c r="D78" s="123">
        <f>30.7/100</f>
        <v>0.307</v>
      </c>
      <c r="E78" s="123">
        <f>12.9/100</f>
        <v>0.129</v>
      </c>
      <c r="F78" s="123">
        <f>14.4/100</f>
        <v>0.14400000000000002</v>
      </c>
      <c r="G78" s="123">
        <f>10.7/100</f>
        <v>0.107</v>
      </c>
      <c r="H78" s="123">
        <f>4.8/100</f>
        <v>4.8000000000000001E-2</v>
      </c>
      <c r="I78" s="123">
        <f>11/100</f>
        <v>0.11</v>
      </c>
      <c r="J78" s="123">
        <f>6.3/100</f>
        <v>6.3E-2</v>
      </c>
      <c r="K78" s="123">
        <f>3.4/100</f>
        <v>3.4000000000000002E-2</v>
      </c>
      <c r="L78" s="123">
        <f>1.4/100</f>
        <v>1.3999999999999999E-2</v>
      </c>
      <c r="M78" s="123">
        <f>1/100</f>
        <v>0.01</v>
      </c>
      <c r="N78" s="434">
        <f>15022/1.1023</f>
        <v>13627.869001179351</v>
      </c>
      <c r="O78" s="467">
        <f t="shared" si="28"/>
        <v>0.38600000000000001</v>
      </c>
      <c r="P78" s="482">
        <v>1999</v>
      </c>
      <c r="Q78" s="110">
        <f>B$271*B170/$AC78</f>
        <v>1.3163224367876768E-2</v>
      </c>
      <c r="R78" s="478">
        <f>C$271*C170/$AC78</f>
        <v>2.8479634300445769E-2</v>
      </c>
      <c r="S78" s="478">
        <f>D$271*D170/$AC78</f>
        <v>0.23553023459091163</v>
      </c>
      <c r="T78" s="478">
        <f>E$271*E170/$AC78</f>
        <v>0.14237449638253874</v>
      </c>
      <c r="U78" s="478">
        <f>F$271*F170/$AC78</f>
        <v>0.16898252601464014</v>
      </c>
      <c r="V78" s="478">
        <f>G$271*G170/$AC78</f>
        <v>0.12410532237831649</v>
      </c>
      <c r="W78" s="483">
        <f>H$271*H170/$AC78</f>
        <v>8.1578486498342623E-2</v>
      </c>
      <c r="X78" s="483">
        <f>I$271*I170/$AC78</f>
        <v>0.10550609754334024</v>
      </c>
      <c r="Y78" s="483">
        <f>J$271*J170/$AC78</f>
        <v>8.7913833886685513E-2</v>
      </c>
      <c r="Z78" s="483">
        <f>K$271*K170/$AC78</f>
        <v>1.0044669364640203E-2</v>
      </c>
      <c r="AA78" s="483">
        <f>L$271*L170/$AC78</f>
        <v>5.6115571901357607E-9</v>
      </c>
      <c r="AB78" s="107">
        <f>M$271*M170/$AC78</f>
        <v>2.3214690607046176E-3</v>
      </c>
      <c r="AC78" s="629">
        <f>SUMPRODUCT($B$271:$M$271,$B170:$M170)</f>
        <v>359.006244786612</v>
      </c>
      <c r="AD78" s="629">
        <f t="shared" si="10"/>
        <v>44.873272244559907</v>
      </c>
      <c r="AE78" s="542">
        <f t="shared" si="26"/>
        <v>0.41146988434358683</v>
      </c>
      <c r="AF78" s="67">
        <v>1999</v>
      </c>
      <c r="AG78" s="550">
        <f t="shared" si="14"/>
        <v>-3.1632243678767682E-3</v>
      </c>
      <c r="AH78" s="57">
        <f t="shared" si="15"/>
        <v>-3.4796343004457678E-3</v>
      </c>
      <c r="AI78" s="57">
        <f t="shared" si="16"/>
        <v>7.1469765409088365E-2</v>
      </c>
      <c r="AJ78" s="57">
        <f t="shared" si="17"/>
        <v>-1.3374496382538736E-2</v>
      </c>
      <c r="AK78" s="57">
        <f t="shared" si="18"/>
        <v>-2.4982526014640127E-2</v>
      </c>
      <c r="AL78" s="57">
        <f t="shared" si="19"/>
        <v>-1.7105322378316495E-2</v>
      </c>
      <c r="AM78" s="57">
        <f t="shared" si="20"/>
        <v>-3.3578486498342622E-2</v>
      </c>
      <c r="AN78" s="57">
        <f t="shared" si="22"/>
        <v>4.4939024566597596E-3</v>
      </c>
      <c r="AO78" s="57">
        <f t="shared" si="23"/>
        <v>-2.4913833886685513E-2</v>
      </c>
      <c r="AP78" s="57">
        <f t="shared" si="24"/>
        <v>2.39553306353598E-2</v>
      </c>
      <c r="AQ78" s="57">
        <f t="shared" si="25"/>
        <v>1.3999994388442809E-2</v>
      </c>
      <c r="AR78" s="44">
        <f t="shared" si="27"/>
        <v>7.6785309392953822E-3</v>
      </c>
      <c r="AS78" s="552">
        <f t="shared" si="21"/>
        <v>8.8228636039756059E-3</v>
      </c>
      <c r="AT78" s="109">
        <v>1</v>
      </c>
    </row>
    <row r="79" spans="1:49" ht="11.25" customHeight="1">
      <c r="A79" s="482">
        <v>2000</v>
      </c>
      <c r="B79" s="535">
        <v>2.9000000000000001E-2</v>
      </c>
      <c r="C79" s="123">
        <v>2.3E-2</v>
      </c>
      <c r="D79" s="123">
        <v>0.03</v>
      </c>
      <c r="E79" s="123">
        <v>0.19900000000000001</v>
      </c>
      <c r="F79" s="123">
        <v>0.16800000000000001</v>
      </c>
      <c r="G79" s="123">
        <v>0.1</v>
      </c>
      <c r="H79" s="123">
        <v>9.8000000000000004E-2</v>
      </c>
      <c r="I79" s="123">
        <v>0.107</v>
      </c>
      <c r="J79" s="123">
        <v>7.6999999999999999E-2</v>
      </c>
      <c r="K79" s="123">
        <v>8.5999999999999993E-2</v>
      </c>
      <c r="L79" s="123">
        <v>6.0999999999999999E-2</v>
      </c>
      <c r="M79" s="123">
        <v>2.4E-2</v>
      </c>
      <c r="N79" s="434">
        <f>14958/1.1023</f>
        <v>13569.808582055701</v>
      </c>
      <c r="O79" s="467">
        <f t="shared" si="28"/>
        <v>0.55299999999999994</v>
      </c>
      <c r="P79" s="482">
        <v>2000</v>
      </c>
      <c r="Q79" s="110">
        <f>B$271*B171/$AC79</f>
        <v>0.10789116298116455</v>
      </c>
      <c r="R79" s="478">
        <f>C$271*C171/$AC79</f>
        <v>3.1905481763208884E-2</v>
      </c>
      <c r="S79" s="478">
        <f>D$271*D171/$AC79</f>
        <v>4.7864512118483846E-2</v>
      </c>
      <c r="T79" s="478">
        <f>E$271*E171/$AC79</f>
        <v>0.27036903341792379</v>
      </c>
      <c r="U79" s="478">
        <f>F$271*F171/$AC79</f>
        <v>0.13076913740430515</v>
      </c>
      <c r="V79" s="478">
        <f>G$271*G171/$AC79</f>
        <v>0.14192351519854288</v>
      </c>
      <c r="W79" s="483">
        <f>H$271*H171/$AC79</f>
        <v>9.2282749027129199E-2</v>
      </c>
      <c r="X79" s="483">
        <f>I$271*I171/$AC79</f>
        <v>5.5998864276494385E-2</v>
      </c>
      <c r="Y79" s="483">
        <f>J$271*J171/$AC79</f>
        <v>6.6719886695873268E-2</v>
      </c>
      <c r="Z79" s="483">
        <f>K$271*K171/$AC79</f>
        <v>5.0878212108902386E-2</v>
      </c>
      <c r="AA79" s="483">
        <f>L$271*L171/$AC79</f>
        <v>3.3974341546395884E-3</v>
      </c>
      <c r="AB79" s="107">
        <f>M$271*M171/$AC79</f>
        <v>1.0853332254527567E-8</v>
      </c>
      <c r="AC79" s="629">
        <f>SUMPRODUCT($B$271:$M$271,$B171:$M171)</f>
        <v>324.25269892349672</v>
      </c>
      <c r="AD79" s="629">
        <f t="shared" si="10"/>
        <v>43.036284147823757</v>
      </c>
      <c r="AE79" s="542">
        <f t="shared" si="26"/>
        <v>0.41120067231491392</v>
      </c>
      <c r="AF79" s="67">
        <v>2000</v>
      </c>
      <c r="AG79" s="550">
        <f t="shared" si="14"/>
        <v>-7.8891162981164553E-2</v>
      </c>
      <c r="AH79" s="57">
        <f t="shared" si="15"/>
        <v>-8.9054817632088848E-3</v>
      </c>
      <c r="AI79" s="57">
        <f t="shared" si="16"/>
        <v>-1.7864512118483847E-2</v>
      </c>
      <c r="AJ79" s="57">
        <f t="shared" si="17"/>
        <v>-7.1369033417923777E-2</v>
      </c>
      <c r="AK79" s="57">
        <f t="shared" si="18"/>
        <v>3.7230862595694858E-2</v>
      </c>
      <c r="AL79" s="57">
        <f t="shared" si="19"/>
        <v>-4.1923515198542871E-2</v>
      </c>
      <c r="AM79" s="57">
        <f t="shared" si="20"/>
        <v>5.7172509728708049E-3</v>
      </c>
      <c r="AN79" s="57">
        <f t="shared" si="22"/>
        <v>5.1001135723505613E-2</v>
      </c>
      <c r="AO79" s="57">
        <f t="shared" si="23"/>
        <v>1.0280113304126731E-2</v>
      </c>
      <c r="AP79" s="57">
        <f t="shared" si="24"/>
        <v>3.5121787891097607E-2</v>
      </c>
      <c r="AQ79" s="57">
        <f t="shared" si="25"/>
        <v>5.7602565845360408E-2</v>
      </c>
      <c r="AR79" s="44">
        <f t="shared" si="27"/>
        <v>2.3999989146667747E-2</v>
      </c>
      <c r="AS79" s="552">
        <f t="shared" si="21"/>
        <v>2.2726599771414075E-2</v>
      </c>
      <c r="AT79" s="109">
        <v>1</v>
      </c>
    </row>
    <row r="80" spans="1:49" ht="11.25" customHeight="1">
      <c r="A80" s="482">
        <v>2001</v>
      </c>
      <c r="B80" s="536">
        <v>2.9000000000000001E-2</v>
      </c>
      <c r="C80" s="121">
        <v>0.16400000000000001</v>
      </c>
      <c r="D80" s="121">
        <v>0.05</v>
      </c>
      <c r="E80" s="121">
        <v>0.04</v>
      </c>
      <c r="F80" s="121">
        <v>0.29199999999999998</v>
      </c>
      <c r="G80" s="121">
        <v>9.4E-2</v>
      </c>
      <c r="H80" s="121">
        <v>0.11600000000000001</v>
      </c>
      <c r="I80" s="121">
        <v>6.6000000000000003E-2</v>
      </c>
      <c r="J80" s="121">
        <v>6.2E-2</v>
      </c>
      <c r="K80" s="121">
        <v>4.8000000000000001E-2</v>
      </c>
      <c r="L80" s="121">
        <v>2.9000000000000001E-2</v>
      </c>
      <c r="M80" s="121">
        <v>1.0999999999999999E-2</v>
      </c>
      <c r="N80" s="433">
        <f>15849/1.1023</f>
        <v>14378.118479542773</v>
      </c>
      <c r="O80" s="467">
        <f t="shared" si="28"/>
        <v>0.42600000000000005</v>
      </c>
      <c r="P80" s="482">
        <v>2001</v>
      </c>
      <c r="Q80" s="110">
        <f>B$271*B172/$AC80</f>
        <v>0.15392411617522142</v>
      </c>
      <c r="R80" s="478">
        <f>C$271*C172/$AC80</f>
        <v>0.22467597310543122</v>
      </c>
      <c r="S80" s="478">
        <f>D$271*D172/$AC80</f>
        <v>4.5983363296694266E-2</v>
      </c>
      <c r="T80" s="478">
        <f>E$271*E172/$AC80</f>
        <v>4.6946839716379821E-2</v>
      </c>
      <c r="U80" s="478">
        <f>F$271*F172/$AC80</f>
        <v>0.20912635932007356</v>
      </c>
      <c r="V80" s="478">
        <f>G$271*G172/$AC80</f>
        <v>9.1431299109516612E-2</v>
      </c>
      <c r="W80" s="483">
        <f>H$271*H172/$AC80</f>
        <v>8.8597421222974065E-2</v>
      </c>
      <c r="X80" s="483">
        <f>I$271*I172/$AC80</f>
        <v>5.4530005513450629E-2</v>
      </c>
      <c r="Y80" s="483">
        <f>J$271*J172/$AC80</f>
        <v>2.7792698286019248E-2</v>
      </c>
      <c r="Z80" s="483">
        <f>K$271*K172/$AC80</f>
        <v>3.3824670622485592E-2</v>
      </c>
      <c r="AA80" s="483">
        <f>L$271*L172/$AC80</f>
        <v>2.3167237929882737E-2</v>
      </c>
      <c r="AB80" s="107">
        <f>M$271*M172/$AC80</f>
        <v>1.5701870767518119E-8</v>
      </c>
      <c r="AC80" s="629">
        <f>SUMPRODUCT($B$271:$M$271,$B172:$M172)</f>
        <v>340.4553099459992</v>
      </c>
      <c r="AD80" s="629">
        <f t="shared" si="10"/>
        <v>46.708469769256105</v>
      </c>
      <c r="AE80" s="542">
        <f t="shared" si="26"/>
        <v>0.31934334838619965</v>
      </c>
      <c r="AF80" s="67">
        <v>2001</v>
      </c>
      <c r="AG80" s="550">
        <f t="shared" si="14"/>
        <v>-0.12492411617522142</v>
      </c>
      <c r="AH80" s="57">
        <f t="shared" si="15"/>
        <v>-6.0675973105431213E-2</v>
      </c>
      <c r="AI80" s="57">
        <f t="shared" si="16"/>
        <v>4.0166367033057371E-3</v>
      </c>
      <c r="AJ80" s="57">
        <f t="shared" si="17"/>
        <v>-6.9468397163798198E-3</v>
      </c>
      <c r="AK80" s="57">
        <f t="shared" si="18"/>
        <v>8.2873640679926419E-2</v>
      </c>
      <c r="AL80" s="57">
        <f t="shared" si="19"/>
        <v>2.5687008904833886E-3</v>
      </c>
      <c r="AM80" s="57">
        <f t="shared" si="20"/>
        <v>2.740257877702594E-2</v>
      </c>
      <c r="AN80" s="57">
        <f t="shared" si="22"/>
        <v>1.1469994486549374E-2</v>
      </c>
      <c r="AO80" s="57">
        <f t="shared" si="23"/>
        <v>3.4207301713980752E-2</v>
      </c>
      <c r="AP80" s="57">
        <f t="shared" si="24"/>
        <v>1.4175329377514409E-2</v>
      </c>
      <c r="AQ80" s="57">
        <f t="shared" si="25"/>
        <v>5.8327620701172644E-3</v>
      </c>
      <c r="AR80" s="44">
        <f t="shared" si="27"/>
        <v>1.0999984298129232E-2</v>
      </c>
      <c r="AS80" s="552">
        <f t="shared" si="21"/>
        <v>2.863520132930358E-2</v>
      </c>
      <c r="AT80" s="109">
        <v>1</v>
      </c>
    </row>
    <row r="81" spans="1:47" ht="11.25" customHeight="1">
      <c r="A81" s="482">
        <v>2002</v>
      </c>
      <c r="B81" s="536">
        <v>0.02</v>
      </c>
      <c r="C81" s="121">
        <v>0.34599999999999997</v>
      </c>
      <c r="D81" s="121">
        <v>0.312</v>
      </c>
      <c r="E81" s="121">
        <v>0.04</v>
      </c>
      <c r="F81" s="121">
        <v>4.2999999999999997E-2</v>
      </c>
      <c r="G81" s="121">
        <v>0.104</v>
      </c>
      <c r="H81" s="121">
        <v>4.3999999999999997E-2</v>
      </c>
      <c r="I81" s="121">
        <v>3.5000000000000003E-2</v>
      </c>
      <c r="J81" s="121">
        <v>2.5000000000000001E-2</v>
      </c>
      <c r="K81" s="121">
        <v>1.4999999999999999E-2</v>
      </c>
      <c r="L81" s="121">
        <v>8.9999999999999993E-3</v>
      </c>
      <c r="M81" s="121">
        <v>7.0000000000000001E-3</v>
      </c>
      <c r="N81" s="433">
        <f>11834/1.1023</f>
        <v>10735.734373582509</v>
      </c>
      <c r="O81" s="467">
        <f t="shared" si="28"/>
        <v>0.23899999999999999</v>
      </c>
      <c r="P81" s="482">
        <v>2002</v>
      </c>
      <c r="Q81" s="110">
        <f>B$271*B173/$AC81</f>
        <v>6.4766593899900846E-2</v>
      </c>
      <c r="R81" s="478">
        <f>C$271*C173/$AC81</f>
        <v>0.28980342502225304</v>
      </c>
      <c r="S81" s="478">
        <f>D$271*D173/$AC81</f>
        <v>0.29243698283448094</v>
      </c>
      <c r="T81" s="478">
        <f>E$271*E173/$AC81</f>
        <v>4.0708118579166723E-2</v>
      </c>
      <c r="U81" s="478">
        <f>F$271*F173/$AC81</f>
        <v>3.2169278741749692E-2</v>
      </c>
      <c r="V81" s="478">
        <f>G$271*G173/$AC81</f>
        <v>0.12295080082999825</v>
      </c>
      <c r="W81" s="483">
        <f>H$271*H173/$AC81</f>
        <v>5.0407506698384799E-2</v>
      </c>
      <c r="X81" s="483">
        <f>I$271*I173/$AC81</f>
        <v>4.4875372240542451E-2</v>
      </c>
      <c r="Y81" s="483">
        <f>J$271*J173/$AC81</f>
        <v>2.6351713991487009E-2</v>
      </c>
      <c r="Z81" s="483">
        <f>K$271*K173/$AC81</f>
        <v>1.1775943424979139E-2</v>
      </c>
      <c r="AA81" s="483">
        <f>L$271*L173/$AC81</f>
        <v>1.4558465155719789E-2</v>
      </c>
      <c r="AB81" s="107">
        <f>M$271*M173/$AC81</f>
        <v>9.1957985813373375E-3</v>
      </c>
      <c r="AC81" s="629">
        <f>SUMPRODUCT($B$271:$M$271,$B173:$M173)</f>
        <v>395.21170977664508</v>
      </c>
      <c r="AD81" s="629">
        <f t="shared" si="10"/>
        <v>36.492848402826731</v>
      </c>
      <c r="AE81" s="542">
        <f t="shared" si="26"/>
        <v>0.28011560092244875</v>
      </c>
      <c r="AF81" s="67">
        <v>2002</v>
      </c>
      <c r="AG81" s="550">
        <f t="shared" si="14"/>
        <v>-4.4766593899900842E-2</v>
      </c>
      <c r="AH81" s="57">
        <f t="shared" si="15"/>
        <v>5.6196574977746938E-2</v>
      </c>
      <c r="AI81" s="57">
        <f t="shared" si="16"/>
        <v>1.9563017165519059E-2</v>
      </c>
      <c r="AJ81" s="57">
        <f t="shared" si="17"/>
        <v>-7.0811857916672216E-4</v>
      </c>
      <c r="AK81" s="57">
        <f t="shared" si="18"/>
        <v>1.0830721258250305E-2</v>
      </c>
      <c r="AL81" s="57">
        <f t="shared" si="19"/>
        <v>-1.8950800829998254E-2</v>
      </c>
      <c r="AM81" s="57">
        <f t="shared" si="20"/>
        <v>-6.4075066983848017E-3</v>
      </c>
      <c r="AN81" s="57">
        <f t="shared" si="22"/>
        <v>-9.8753722405424474E-3</v>
      </c>
      <c r="AO81" s="57">
        <f t="shared" si="23"/>
        <v>-1.351713991487008E-3</v>
      </c>
      <c r="AP81" s="57">
        <f t="shared" si="24"/>
        <v>3.2240565750208602E-3</v>
      </c>
      <c r="AQ81" s="57">
        <f t="shared" si="25"/>
        <v>-5.5584651557197898E-3</v>
      </c>
      <c r="AR81" s="44">
        <f t="shared" si="27"/>
        <v>-2.1957985813373373E-3</v>
      </c>
      <c r="AS81" s="552">
        <f t="shared" si="21"/>
        <v>6.208272273030899E-3</v>
      </c>
      <c r="AT81" s="109">
        <v>1</v>
      </c>
    </row>
    <row r="82" spans="1:47" ht="11.25" customHeight="1">
      <c r="A82" s="482">
        <v>2003</v>
      </c>
      <c r="B82" s="536">
        <v>1E-3</v>
      </c>
      <c r="C82" s="121">
        <v>2.7E-2</v>
      </c>
      <c r="D82" s="121">
        <v>0.36499999999999999</v>
      </c>
      <c r="E82" s="121">
        <v>0.245</v>
      </c>
      <c r="F82" s="121">
        <v>4.3999999999999997E-2</v>
      </c>
      <c r="G82" s="121">
        <v>7.0000000000000007E-2</v>
      </c>
      <c r="H82" s="121">
        <v>9.1999999999999998E-2</v>
      </c>
      <c r="I82" s="121">
        <v>0.05</v>
      </c>
      <c r="J82" s="121">
        <v>4.2999999999999997E-2</v>
      </c>
      <c r="K82" s="121">
        <v>2.8000000000000001E-2</v>
      </c>
      <c r="L82" s="121">
        <v>1.6E-2</v>
      </c>
      <c r="M82" s="121">
        <v>1.9E-2</v>
      </c>
      <c r="N82" s="433">
        <f>15158/1.1023</f>
        <v>13751.247391817109</v>
      </c>
      <c r="O82" s="467">
        <f t="shared" si="28"/>
        <v>0.31800000000000006</v>
      </c>
      <c r="P82" s="482">
        <v>2003</v>
      </c>
      <c r="Q82" s="110">
        <f>B$271*B174/$AC82</f>
        <v>1.9932464570679778E-2</v>
      </c>
      <c r="R82" s="478">
        <f>C$271*C174/$AC82</f>
        <v>0.12434239412992378</v>
      </c>
      <c r="S82" s="478">
        <f>D$271*D174/$AC82</f>
        <v>0.38855231553524383</v>
      </c>
      <c r="T82" s="478">
        <f>E$271*E174/$AC82</f>
        <v>0.27035826100310623</v>
      </c>
      <c r="U82" s="478">
        <f>F$271*F174/$AC82</f>
        <v>2.9476464783007281E-2</v>
      </c>
      <c r="V82" s="478">
        <f>G$271*G174/$AC82</f>
        <v>1.97099786903745E-2</v>
      </c>
      <c r="W82" s="483">
        <f>H$271*H174/$AC82</f>
        <v>7.0286551908968015E-2</v>
      </c>
      <c r="X82" s="483">
        <f>I$271*I174/$AC82</f>
        <v>2.6969628559564616E-2</v>
      </c>
      <c r="Y82" s="483">
        <f>J$271*J174/$AC82</f>
        <v>2.3032034545163796E-2</v>
      </c>
      <c r="Z82" s="483">
        <f>K$271*K174/$AC82</f>
        <v>1.2566714309487048E-2</v>
      </c>
      <c r="AA82" s="483">
        <f>L$271*L174/$AC82</f>
        <v>5.2169046220125201E-3</v>
      </c>
      <c r="AB82" s="107">
        <f>M$271*M174/$AC82</f>
        <v>9.5562873424686959E-3</v>
      </c>
      <c r="AC82" s="629">
        <f>SUMPRODUCT($B$271:$M$271,$B174:$M174)</f>
        <v>452.64980608189649</v>
      </c>
      <c r="AD82" s="629">
        <f t="shared" si="10"/>
        <v>43.481259017308453</v>
      </c>
      <c r="AE82" s="542">
        <f t="shared" si="26"/>
        <v>0.16733809997803917</v>
      </c>
      <c r="AF82" s="67">
        <v>2003</v>
      </c>
      <c r="AG82" s="550">
        <f t="shared" si="14"/>
        <v>-1.8932464570679777E-2</v>
      </c>
      <c r="AH82" s="57">
        <f t="shared" si="15"/>
        <v>-9.7342394129923779E-2</v>
      </c>
      <c r="AI82" s="57">
        <f t="shared" si="16"/>
        <v>-2.355231553524384E-2</v>
      </c>
      <c r="AJ82" s="57">
        <f t="shared" si="17"/>
        <v>-2.5358261003106231E-2</v>
      </c>
      <c r="AK82" s="57">
        <f t="shared" si="18"/>
        <v>1.4523535216992716E-2</v>
      </c>
      <c r="AL82" s="57">
        <f t="shared" si="19"/>
        <v>5.029002130962551E-2</v>
      </c>
      <c r="AM82" s="57">
        <f t="shared" si="20"/>
        <v>2.1713448091031984E-2</v>
      </c>
      <c r="AN82" s="57">
        <f t="shared" si="22"/>
        <v>2.3030371440435387E-2</v>
      </c>
      <c r="AO82" s="57">
        <f t="shared" si="23"/>
        <v>1.9967965454836201E-2</v>
      </c>
      <c r="AP82" s="57">
        <f t="shared" si="24"/>
        <v>1.5433285690512952E-2</v>
      </c>
      <c r="AQ82" s="57">
        <f t="shared" si="25"/>
        <v>1.0783095377987481E-2</v>
      </c>
      <c r="AR82" s="44">
        <f t="shared" si="27"/>
        <v>9.4437126575313037E-3</v>
      </c>
      <c r="AS82" s="552">
        <f t="shared" si="21"/>
        <v>1.5615988839346303E-2</v>
      </c>
      <c r="AT82" s="109">
        <v>1</v>
      </c>
    </row>
    <row r="83" spans="1:47" ht="11.25" customHeight="1">
      <c r="A83" s="482">
        <v>2004</v>
      </c>
      <c r="B83" s="536">
        <v>1E-3</v>
      </c>
      <c r="C83" s="121">
        <v>3.0000000000000001E-3</v>
      </c>
      <c r="D83" s="121">
        <v>3.7999999999999999E-2</v>
      </c>
      <c r="E83" s="121">
        <v>0.437</v>
      </c>
      <c r="F83" s="121">
        <v>0.246</v>
      </c>
      <c r="G83" s="121">
        <v>3.5999999999999997E-2</v>
      </c>
      <c r="H83" s="121">
        <v>5.3999999999999999E-2</v>
      </c>
      <c r="I83" s="121">
        <v>7.0999999999999994E-2</v>
      </c>
      <c r="J83" s="121">
        <v>4.5999999999999999E-2</v>
      </c>
      <c r="K83" s="121">
        <v>2.1999999999999999E-2</v>
      </c>
      <c r="L83" s="121">
        <v>2.3E-2</v>
      </c>
      <c r="M83" s="121">
        <v>1.7999999999999999E-2</v>
      </c>
      <c r="N83" s="433">
        <f>13888/1.1023</f>
        <v>12599.110949832168</v>
      </c>
      <c r="O83" s="467">
        <f t="shared" si="28"/>
        <v>0.26999999999999996</v>
      </c>
      <c r="P83" s="482">
        <v>2004</v>
      </c>
      <c r="Q83" s="110">
        <f>B$271*B175/$AC83</f>
        <v>1.7838472073729471E-2</v>
      </c>
      <c r="R83" s="478">
        <f>C$271*C175/$AC83</f>
        <v>4.3695840258242011E-2</v>
      </c>
      <c r="S83" s="478">
        <f>D$271*D175/$AC83</f>
        <v>0.1902151653077537</v>
      </c>
      <c r="T83" s="478">
        <f>E$271*E175/$AC83</f>
        <v>0.40874955211307074</v>
      </c>
      <c r="U83" s="478">
        <f>F$271*F175/$AC83</f>
        <v>0.22384183364869842</v>
      </c>
      <c r="V83" s="478">
        <f>G$271*G175/$AC83</f>
        <v>2.0798467523351852E-2</v>
      </c>
      <c r="W83" s="483">
        <f>H$271*H175/$AC83</f>
        <v>1.1090406464150477E-2</v>
      </c>
      <c r="X83" s="483">
        <f>I$271*I175/$AC83</f>
        <v>4.3185439248436541E-2</v>
      </c>
      <c r="Y83" s="483">
        <f>J$271*J175/$AC83</f>
        <v>1.5457703024618833E-2</v>
      </c>
      <c r="Z83" s="483">
        <f>K$271*K175/$AC83</f>
        <v>1.2401757461376079E-2</v>
      </c>
      <c r="AA83" s="483">
        <f>L$271*L175/$AC83</f>
        <v>6.1502245162483897E-3</v>
      </c>
      <c r="AB83" s="107">
        <f>M$271*M175/$AC83</f>
        <v>6.5751383603234841E-3</v>
      </c>
      <c r="AC83" s="629">
        <f>SUMPRODUCT($B$271:$M$271,$B175:$M175)</f>
        <v>453.80156312669652</v>
      </c>
      <c r="AD83" s="629">
        <f t="shared" si="10"/>
        <v>39.050189890409946</v>
      </c>
      <c r="AE83" s="542">
        <f t="shared" si="26"/>
        <v>0.11565913659850566</v>
      </c>
      <c r="AF83" s="67">
        <v>2004</v>
      </c>
      <c r="AG83" s="550">
        <f t="shared" si="14"/>
        <v>-1.6838472073729471E-2</v>
      </c>
      <c r="AH83" s="57">
        <f t="shared" si="15"/>
        <v>-4.0695840258242008E-2</v>
      </c>
      <c r="AI83" s="57">
        <f t="shared" si="16"/>
        <v>-0.1522151653077537</v>
      </c>
      <c r="AJ83" s="57">
        <f t="shared" si="17"/>
        <v>2.8250447886929264E-2</v>
      </c>
      <c r="AK83" s="57">
        <f t="shared" si="18"/>
        <v>2.2158166351301578E-2</v>
      </c>
      <c r="AL83" s="57">
        <f t="shared" si="19"/>
        <v>1.5201532476648145E-2</v>
      </c>
      <c r="AM83" s="57">
        <f t="shared" si="20"/>
        <v>4.290959353584952E-2</v>
      </c>
      <c r="AN83" s="57">
        <f t="shared" si="22"/>
        <v>2.7814560751563452E-2</v>
      </c>
      <c r="AO83" s="57">
        <f t="shared" si="23"/>
        <v>3.0542296975381168E-2</v>
      </c>
      <c r="AP83" s="57">
        <f t="shared" si="24"/>
        <v>9.5982425386239197E-3</v>
      </c>
      <c r="AQ83" s="57">
        <f t="shared" si="25"/>
        <v>1.6849775483751609E-2</v>
      </c>
      <c r="AR83" s="44">
        <f t="shared" si="27"/>
        <v>1.1424861639676515E-2</v>
      </c>
      <c r="AS83" s="552">
        <f t="shared" si="21"/>
        <v>3.0683584406187004E-2</v>
      </c>
      <c r="AT83" s="109">
        <v>1</v>
      </c>
    </row>
    <row r="84" spans="1:47" s="6" customFormat="1" ht="11.25" customHeight="1">
      <c r="A84" s="482">
        <v>2005</v>
      </c>
      <c r="B84" s="536">
        <v>1.3623978201634877E-3</v>
      </c>
      <c r="C84" s="121">
        <v>4.0871934604904629E-3</v>
      </c>
      <c r="D84" s="121">
        <v>1.0081743869209809E-2</v>
      </c>
      <c r="E84" s="121">
        <v>0.14332425068119892</v>
      </c>
      <c r="F84" s="121">
        <v>0.46185286103542234</v>
      </c>
      <c r="G84" s="121">
        <v>0.19673024523160762</v>
      </c>
      <c r="H84" s="121">
        <v>5.53133514986376E-2</v>
      </c>
      <c r="I84" s="121">
        <v>4.6049046321525886E-2</v>
      </c>
      <c r="J84" s="121">
        <v>4.0599455040871944E-2</v>
      </c>
      <c r="K84" s="121">
        <v>1.3351498637602179E-2</v>
      </c>
      <c r="L84" s="121">
        <v>1.11716621253406E-2</v>
      </c>
      <c r="M84" s="620">
        <v>1.6080000000000001E-2</v>
      </c>
      <c r="N84" s="618">
        <f>14868/1.1023</f>
        <v>13488.161117663067</v>
      </c>
      <c r="O84" s="467">
        <f t="shared" si="28"/>
        <v>0.37929525885558579</v>
      </c>
      <c r="P84" s="482">
        <v>2005</v>
      </c>
      <c r="Q84" s="110">
        <f>B$271*B176/$AC84</f>
        <v>4.1233457199851178E-2</v>
      </c>
      <c r="R84" s="478">
        <f>C$271*C176/$AC84</f>
        <v>4.1733289197988348E-2</v>
      </c>
      <c r="S84" s="478">
        <f>D$271*D176/$AC84</f>
        <v>7.151228053993261E-2</v>
      </c>
      <c r="T84" s="478">
        <f>E$271*E176/$AC84</f>
        <v>0.21579480029469975</v>
      </c>
      <c r="U84" s="478">
        <f>F$271*F176/$AC84</f>
        <v>0.37496474168936977</v>
      </c>
      <c r="V84" s="478">
        <f>G$271*G176/$AC84</f>
        <v>0.18803116335933315</v>
      </c>
      <c r="W84" s="483">
        <f>H$271*H176/$AC84</f>
        <v>1.3559846003360097E-2</v>
      </c>
      <c r="X84" s="483">
        <f>I$271*I176/$AC84</f>
        <v>4.7666689378560523E-3</v>
      </c>
      <c r="Y84" s="483">
        <f>J$271*J176/$AC84</f>
        <v>2.7706651616607535E-2</v>
      </c>
      <c r="Z84" s="483">
        <f>K$271*K176/$AC84</f>
        <v>7.9750128419365622E-3</v>
      </c>
      <c r="AA84" s="483">
        <f>L$271*L176/$AC84</f>
        <v>6.7218671135985796E-3</v>
      </c>
      <c r="AB84" s="107">
        <f>M$271*M176/$AC84</f>
        <v>6.0002212054662872E-3</v>
      </c>
      <c r="AC84" s="629">
        <f>SUMPRODUCT($B$271:$M$271,$B176:$M176)</f>
        <v>426.88373399394339</v>
      </c>
      <c r="AD84" s="629">
        <f t="shared" si="10"/>
        <v>40.411282573658887</v>
      </c>
      <c r="AE84" s="542">
        <f t="shared" si="26"/>
        <v>0.25476143107815824</v>
      </c>
      <c r="AF84" s="67">
        <v>2005</v>
      </c>
      <c r="AG84" s="550">
        <f t="shared" si="14"/>
        <v>-3.9871059379687691E-2</v>
      </c>
      <c r="AH84" s="57">
        <f t="shared" si="15"/>
        <v>-3.7646095737497887E-2</v>
      </c>
      <c r="AI84" s="57">
        <f t="shared" si="16"/>
        <v>-6.1430536670722805E-2</v>
      </c>
      <c r="AJ84" s="57">
        <f t="shared" si="17"/>
        <v>-7.2470549613500829E-2</v>
      </c>
      <c r="AK84" s="57">
        <f t="shared" si="18"/>
        <v>8.6888119346052561E-2</v>
      </c>
      <c r="AL84" s="57">
        <f t="shared" si="19"/>
        <v>8.6990818722744723E-3</v>
      </c>
      <c r="AM84" s="57">
        <f t="shared" si="20"/>
        <v>4.1753505495277503E-2</v>
      </c>
      <c r="AN84" s="57">
        <f t="shared" si="22"/>
        <v>4.1282377383669834E-2</v>
      </c>
      <c r="AO84" s="57">
        <f t="shared" si="23"/>
        <v>1.289280342426441E-2</v>
      </c>
      <c r="AP84" s="57">
        <f t="shared" si="24"/>
        <v>5.376485795665617E-3</v>
      </c>
      <c r="AQ84" s="57">
        <f t="shared" si="25"/>
        <v>4.44979501174202E-3</v>
      </c>
      <c r="AR84" s="44">
        <f t="shared" si="27"/>
        <v>1.0079778794533714E-2</v>
      </c>
      <c r="AS84" s="552">
        <f t="shared" si="21"/>
        <v>2.3421964105618632E-2</v>
      </c>
      <c r="AT84" s="109">
        <v>1</v>
      </c>
      <c r="AU84" s="2"/>
    </row>
    <row r="85" spans="1:47" ht="11.25" customHeight="1">
      <c r="A85" s="482">
        <v>2006</v>
      </c>
      <c r="B85" s="536">
        <v>4.6647230320699708E-2</v>
      </c>
      <c r="C85" s="121">
        <v>0.12456930824277763</v>
      </c>
      <c r="D85" s="121">
        <v>5.1948051948051951E-2</v>
      </c>
      <c r="E85" s="121">
        <v>5.0622846541213885E-2</v>
      </c>
      <c r="F85" s="121">
        <v>0.23270606944076333</v>
      </c>
      <c r="G85" s="121">
        <v>0.24516300026504109</v>
      </c>
      <c r="H85" s="121">
        <v>0.14365226610124571</v>
      </c>
      <c r="I85" s="121">
        <v>1.9878081102570899E-2</v>
      </c>
      <c r="J85" s="121">
        <v>4.5852107076596871E-2</v>
      </c>
      <c r="K85" s="121">
        <v>1.0601643254704479E-2</v>
      </c>
      <c r="L85" s="121">
        <v>1.3782136231115823E-2</v>
      </c>
      <c r="M85" s="620">
        <v>1.4E-2</v>
      </c>
      <c r="N85" s="618">
        <v>16821.3</v>
      </c>
      <c r="O85" s="467">
        <f t="shared" si="28"/>
        <v>0.49292923403127492</v>
      </c>
      <c r="P85" s="482">
        <v>2006</v>
      </c>
      <c r="Q85" s="110">
        <f>B$271*B177/$AC85</f>
        <v>4.1151007543306299E-2</v>
      </c>
      <c r="R85" s="478">
        <f>C$271*C177/$AC85</f>
        <v>9.9929348442849952E-2</v>
      </c>
      <c r="S85" s="478">
        <f>D$271*D177/$AC85</f>
        <v>7.0615257511217971E-2</v>
      </c>
      <c r="T85" s="478">
        <f>E$271*E177/$AC85</f>
        <v>8.3638068750399641E-2</v>
      </c>
      <c r="U85" s="478">
        <f>F$271*F177/$AC85</f>
        <v>0.20306502733991613</v>
      </c>
      <c r="V85" s="478">
        <f>G$271*G177/$AC85</f>
        <v>0.32268169731612678</v>
      </c>
      <c r="W85" s="483">
        <f>H$271*H177/$AC85</f>
        <v>0.14124229004626648</v>
      </c>
      <c r="X85" s="483">
        <f>I$271*I177/$AC85</f>
        <v>8.0604744055047424E-3</v>
      </c>
      <c r="Y85" s="483">
        <f>J$271*J177/$AC85</f>
        <v>1.8059393742535378E-3</v>
      </c>
      <c r="Z85" s="483">
        <f>K$271*K177/$AC85</f>
        <v>1.7123885156572781E-2</v>
      </c>
      <c r="AA85" s="483">
        <f>L$271*L177/$AC85</f>
        <v>4.3750239963156069E-3</v>
      </c>
      <c r="AB85" s="107">
        <f>M$271*M177/$AC85</f>
        <v>6.311980117270093E-3</v>
      </c>
      <c r="AC85" s="629">
        <f>SUMPRODUCT($B$271:$M$271,$B177:$M177)</f>
        <v>387.19582595718805</v>
      </c>
      <c r="AD85" s="629">
        <f t="shared" si="10"/>
        <v>44.209781539372699</v>
      </c>
      <c r="AE85" s="542">
        <f t="shared" si="26"/>
        <v>0.50160129041231005</v>
      </c>
      <c r="AF85" s="67">
        <v>2006</v>
      </c>
      <c r="AG85" s="550">
        <f t="shared" si="14"/>
        <v>5.4962227773934086E-3</v>
      </c>
      <c r="AH85" s="57">
        <f t="shared" si="15"/>
        <v>2.4639959799927683E-2</v>
      </c>
      <c r="AI85" s="57">
        <f t="shared" si="16"/>
        <v>-1.866720556316602E-2</v>
      </c>
      <c r="AJ85" s="57">
        <f t="shared" si="17"/>
        <v>-3.3015222209185756E-2</v>
      </c>
      <c r="AK85" s="57">
        <f t="shared" si="18"/>
        <v>2.9641042100847198E-2</v>
      </c>
      <c r="AL85" s="57">
        <f t="shared" si="19"/>
        <v>-7.7518697051085689E-2</v>
      </c>
      <c r="AM85" s="57">
        <f t="shared" si="20"/>
        <v>2.4099760549792237E-3</v>
      </c>
      <c r="AN85" s="57">
        <f t="shared" si="22"/>
        <v>1.1817606697066156E-2</v>
      </c>
      <c r="AO85" s="57">
        <f t="shared" si="23"/>
        <v>4.4046167702343333E-2</v>
      </c>
      <c r="AP85" s="57">
        <f t="shared" si="24"/>
        <v>-6.5222419018683021E-3</v>
      </c>
      <c r="AQ85" s="57">
        <f t="shared" si="25"/>
        <v>9.4071122348002162E-3</v>
      </c>
      <c r="AR85" s="44">
        <f t="shared" si="27"/>
        <v>7.6880198827299073E-3</v>
      </c>
      <c r="AS85" s="552">
        <f t="shared" si="21"/>
        <v>1.1239213065779331E-2</v>
      </c>
      <c r="AT85" s="109">
        <v>1</v>
      </c>
      <c r="AU85" s="6"/>
    </row>
    <row r="86" spans="1:47" ht="11.25" customHeight="1">
      <c r="A86" s="482">
        <v>2007</v>
      </c>
      <c r="B86" s="536">
        <v>1.5740285292670929E-2</v>
      </c>
      <c r="C86" s="121">
        <v>0.11559272011805213</v>
      </c>
      <c r="D86" s="121">
        <v>0.19773733398917856</v>
      </c>
      <c r="E86" s="121">
        <v>6.246925725528775E-2</v>
      </c>
      <c r="F86" s="121">
        <v>9.247417609444171E-2</v>
      </c>
      <c r="G86" s="121">
        <v>0.20216428922774227</v>
      </c>
      <c r="H86" s="121">
        <v>0.19872110181997049</v>
      </c>
      <c r="I86" s="121">
        <v>6.0993605509099852E-2</v>
      </c>
      <c r="J86" s="121">
        <v>2.9513034923757994E-2</v>
      </c>
      <c r="K86" s="121">
        <v>5.9026069847515983E-3</v>
      </c>
      <c r="L86" s="121">
        <v>9.8376783079193314E-3</v>
      </c>
      <c r="M86" s="620">
        <v>8.8539104771273979E-3</v>
      </c>
      <c r="N86" s="618">
        <f>16824/1.1023</f>
        <v>15262.632677129637</v>
      </c>
      <c r="O86" s="467">
        <f t="shared" si="28"/>
        <v>0.51598622725036891</v>
      </c>
      <c r="P86" s="482">
        <v>2007</v>
      </c>
      <c r="Q86" s="110">
        <f>B$271*B178/$AC86</f>
        <v>4.2704332441748358E-2</v>
      </c>
      <c r="R86" s="478">
        <f>C$271*C178/$AC86</f>
        <v>0.10012743969029646</v>
      </c>
      <c r="S86" s="478">
        <f>D$271*D178/$AC86</f>
        <v>0.16767862371993666</v>
      </c>
      <c r="T86" s="478">
        <f>E$271*E178/$AC86</f>
        <v>8.1810606916162917E-2</v>
      </c>
      <c r="U86" s="478">
        <f>F$271*F178/$AC86</f>
        <v>7.7105200905767918E-2</v>
      </c>
      <c r="V86" s="478">
        <f>G$271*G178/$AC86</f>
        <v>0.16636755145926604</v>
      </c>
      <c r="W86" s="483">
        <f>H$271*H178/$AC86</f>
        <v>0.24392787615338904</v>
      </c>
      <c r="X86" s="483">
        <f>I$271*I178/$AC86</f>
        <v>0.10000524703915996</v>
      </c>
      <c r="Y86" s="483">
        <f>J$271*J178/$AC86</f>
        <v>5.0935692434595512E-3</v>
      </c>
      <c r="Z86" s="483">
        <f>K$271*K178/$AC86</f>
        <v>7.8999433606713598E-5</v>
      </c>
      <c r="AA86" s="483">
        <f>L$271*L178/$AC86</f>
        <v>9.9114899565793581E-3</v>
      </c>
      <c r="AB86" s="107">
        <f>M$271*M178/$AC86</f>
        <v>5.1890630406273399E-3</v>
      </c>
      <c r="AC86" s="629">
        <f>SUMPRODUCT($B$271:$M$271,$B178:$M178)</f>
        <v>346.85683721142738</v>
      </c>
      <c r="AD86" s="629">
        <f t="shared" si="10"/>
        <v>40.171571771048022</v>
      </c>
      <c r="AE86" s="542">
        <f t="shared" si="26"/>
        <v>0.53057379632608803</v>
      </c>
      <c r="AF86" s="67">
        <v>2007</v>
      </c>
      <c r="AG86" s="550">
        <f t="shared" si="14"/>
        <v>-2.6964047149077429E-2</v>
      </c>
      <c r="AH86" s="57">
        <f t="shared" si="15"/>
        <v>1.5465280427755676E-2</v>
      </c>
      <c r="AI86" s="57">
        <f t="shared" si="16"/>
        <v>3.0058710269241895E-2</v>
      </c>
      <c r="AJ86" s="57">
        <f t="shared" si="17"/>
        <v>-1.9341349660875168E-2</v>
      </c>
      <c r="AK86" s="57">
        <f t="shared" si="18"/>
        <v>1.5368975188673792E-2</v>
      </c>
      <c r="AL86" s="57">
        <f t="shared" si="19"/>
        <v>3.5796737768476222E-2</v>
      </c>
      <c r="AM86" s="57">
        <f t="shared" si="20"/>
        <v>-4.5206774333418548E-2</v>
      </c>
      <c r="AN86" s="57">
        <f t="shared" si="22"/>
        <v>-3.9011641530060107E-2</v>
      </c>
      <c r="AO86" s="57">
        <f t="shared" si="23"/>
        <v>2.4419465680298444E-2</v>
      </c>
      <c r="AP86" s="57">
        <f t="shared" si="24"/>
        <v>5.8236075511448847E-3</v>
      </c>
      <c r="AQ86" s="57">
        <f t="shared" si="25"/>
        <v>-7.3811648660026749E-5</v>
      </c>
      <c r="AR86" s="44">
        <f t="shared" si="27"/>
        <v>3.664847436500058E-3</v>
      </c>
      <c r="AS86" s="552">
        <f t="shared" ref="AS86:AS92" si="29">SUMSQ(AG86:AR86)</f>
        <v>7.970682324752244E-3</v>
      </c>
      <c r="AT86" s="109">
        <v>1</v>
      </c>
      <c r="AU86" s="6"/>
    </row>
    <row r="87" spans="1:47" ht="11.25" customHeight="1">
      <c r="A87" s="482">
        <v>2008</v>
      </c>
      <c r="B87" s="452">
        <v>7.3644793372291781E-2</v>
      </c>
      <c r="C87" s="452">
        <v>0.105683962073486</v>
      </c>
      <c r="D87" s="452">
        <v>0.18511545245227354</v>
      </c>
      <c r="E87" s="452">
        <v>0.18027715458218141</v>
      </c>
      <c r="F87" s="452">
        <v>8.3637827150058616E-2</v>
      </c>
      <c r="G87" s="452">
        <v>6.2437826441998405E-2</v>
      </c>
      <c r="H87" s="452">
        <v>0.10312239895587016</v>
      </c>
      <c r="I87" s="452">
        <v>0.12743415638203631</v>
      </c>
      <c r="J87" s="452">
        <v>4.80993123366599E-2</v>
      </c>
      <c r="K87" s="452">
        <v>1.7722998255429372E-2</v>
      </c>
      <c r="L87" s="452">
        <v>5.6896838351591875E-3</v>
      </c>
      <c r="M87" s="621">
        <v>5.6934471649058528E-3</v>
      </c>
      <c r="N87" s="596">
        <f>15691/1.1023</f>
        <v>14234.781819831262</v>
      </c>
      <c r="O87" s="467">
        <f t="shared" ref="O87:O94" si="30">SUM(G87:M87)</f>
        <v>0.37019982337205914</v>
      </c>
      <c r="P87" s="482">
        <v>2008</v>
      </c>
      <c r="Q87" s="110">
        <f>B$271*B179/$AC87</f>
        <v>7.6621389043365046E-2</v>
      </c>
      <c r="R87" s="478">
        <f>C$271*C179/$AC87</f>
        <v>9.7719765626445868E-2</v>
      </c>
      <c r="S87" s="478">
        <f>D$271*D179/$AC87</f>
        <v>0.15920301655982172</v>
      </c>
      <c r="T87" s="478">
        <f>E$271*E179/$AC87</f>
        <v>0.18264452511725063</v>
      </c>
      <c r="U87" s="478">
        <f>F$271*F179/$AC87</f>
        <v>7.1628980981851845E-2</v>
      </c>
      <c r="V87" s="478">
        <f>G$271*G179/$AC87</f>
        <v>6.152932842168013E-2</v>
      </c>
      <c r="W87" s="483">
        <f>H$271*H179/$AC87</f>
        <v>0.11597668321719441</v>
      </c>
      <c r="X87" s="483">
        <f>I$271*I179/$AC87</f>
        <v>0.16145145763155197</v>
      </c>
      <c r="Y87" s="483">
        <f>J$271*J179/$AC87</f>
        <v>6.3557769273419149E-2</v>
      </c>
      <c r="Z87" s="483">
        <f>K$271*K179/$AC87</f>
        <v>2.3931929738383855E-3</v>
      </c>
      <c r="AA87" s="483">
        <f>L$271*L179/$AC87</f>
        <v>2.4189160543650194E-9</v>
      </c>
      <c r="AB87" s="107">
        <f>M$271*M179/$AC87</f>
        <v>7.2738887346648733E-3</v>
      </c>
      <c r="AC87" s="630">
        <f>SUMPRODUCT($B$271:$M$271,$B179:$M179)</f>
        <v>332.24902922220014</v>
      </c>
      <c r="AD87" s="630">
        <f t="shared" si="10"/>
        <v>40.657929280431553</v>
      </c>
      <c r="AE87" s="542">
        <f t="shared" si="26"/>
        <v>0.41218232267126498</v>
      </c>
      <c r="AF87" s="67">
        <v>2008</v>
      </c>
      <c r="AG87" s="549">
        <f t="shared" si="14"/>
        <v>-2.9765956710732649E-3</v>
      </c>
      <c r="AH87" s="119">
        <f t="shared" si="15"/>
        <v>7.9641964470401339E-3</v>
      </c>
      <c r="AI87" s="119">
        <f t="shared" si="16"/>
        <v>2.5912435892451818E-2</v>
      </c>
      <c r="AJ87" s="119">
        <f t="shared" si="17"/>
        <v>-2.3673705350692187E-3</v>
      </c>
      <c r="AK87" s="119">
        <f t="shared" si="18"/>
        <v>1.2008846168206772E-2</v>
      </c>
      <c r="AL87" s="119">
        <f t="shared" si="19"/>
        <v>9.0849802031827548E-4</v>
      </c>
      <c r="AM87" s="119">
        <f t="shared" si="20"/>
        <v>-1.2854284261324248E-2</v>
      </c>
      <c r="AN87" s="119">
        <f t="shared" si="22"/>
        <v>-3.4017301249515658E-2</v>
      </c>
      <c r="AO87" s="119">
        <f t="shared" si="23"/>
        <v>-1.5458456936759249E-2</v>
      </c>
      <c r="AP87" s="119">
        <f t="shared" si="24"/>
        <v>1.5329805281590987E-2</v>
      </c>
      <c r="AQ87" s="119">
        <f t="shared" si="25"/>
        <v>5.6896814162431331E-3</v>
      </c>
      <c r="AR87" s="44">
        <f t="shared" si="27"/>
        <v>-1.5804415697590205E-3</v>
      </c>
      <c r="AS87" s="553">
        <f t="shared" si="29"/>
        <v>2.7256315780935427E-3</v>
      </c>
      <c r="AT87" s="116">
        <v>1</v>
      </c>
      <c r="AU87" s="6"/>
    </row>
    <row r="88" spans="1:47" ht="11.25" customHeight="1">
      <c r="A88" s="482">
        <v>2009</v>
      </c>
      <c r="B88" s="622">
        <v>0.15301851285812201</v>
      </c>
      <c r="C88" s="622">
        <v>0.19275508188294788</v>
      </c>
      <c r="D88" s="622">
        <v>0.15252050612092372</v>
      </c>
      <c r="E88" s="622">
        <v>0.14287741583315638</v>
      </c>
      <c r="F88" s="622">
        <v>0.10778461155609749</v>
      </c>
      <c r="G88" s="622">
        <v>5.101885011741783E-2</v>
      </c>
      <c r="H88" s="622">
        <v>3.9418877979362617E-2</v>
      </c>
      <c r="I88" s="622">
        <v>5.6430269826123085E-2</v>
      </c>
      <c r="J88" s="622">
        <v>6.351702295947749E-2</v>
      </c>
      <c r="K88" s="622">
        <v>2.3232363821557484E-2</v>
      </c>
      <c r="L88" s="622">
        <v>6.7762258395122673E-3</v>
      </c>
      <c r="M88" s="622">
        <v>6.8853386507318898E-3</v>
      </c>
      <c r="N88" s="619">
        <f>12967/1.1023</f>
        <v>11763.585230880884</v>
      </c>
      <c r="O88" s="597">
        <f t="shared" si="30"/>
        <v>0.2472789491941827</v>
      </c>
      <c r="P88" s="482">
        <v>2009</v>
      </c>
      <c r="Q88" s="110">
        <f>B$271*B180/$AC88</f>
        <v>0.12603764891929281</v>
      </c>
      <c r="R88" s="478">
        <f>C$271*C180/$AC88</f>
        <v>0.15832022640230781</v>
      </c>
      <c r="S88" s="478">
        <f>D$271*D180/$AC88</f>
        <v>0.13999407001883146</v>
      </c>
      <c r="T88" s="478">
        <f>E$271*E180/$AC88</f>
        <v>0.15427264401325805</v>
      </c>
      <c r="U88" s="478">
        <f>F$271*F180/$AC88</f>
        <v>0.14099728156310251</v>
      </c>
      <c r="V88" s="478">
        <f>G$271*G180/$AC88</f>
        <v>4.9876742914439422E-2</v>
      </c>
      <c r="W88" s="483">
        <f>H$271*H180/$AC88</f>
        <v>3.6988620271366644E-2</v>
      </c>
      <c r="X88" s="483">
        <f>I$271*I180/$AC88</f>
        <v>6.7019151302432634E-2</v>
      </c>
      <c r="Y88" s="483">
        <f>J$271*J180/$AC88</f>
        <v>8.9371263909193907E-2</v>
      </c>
      <c r="Z88" s="483">
        <f>K$271*K180/$AC88</f>
        <v>3.3252678153894155E-2</v>
      </c>
      <c r="AA88" s="483">
        <f>L$271*L180/$AC88</f>
        <v>1.0414941586426106E-3</v>
      </c>
      <c r="AB88" s="107">
        <f>M$271*M180/$AC88</f>
        <v>2.8281783732380045E-3</v>
      </c>
      <c r="AC88" s="630">
        <f>SUMPRODUCT($B$271:$M$271,$B180:$M180)</f>
        <v>352.1405751216455</v>
      </c>
      <c r="AD88" s="630">
        <f t="shared" si="10"/>
        <v>35.783211872867611</v>
      </c>
      <c r="AE88" s="542">
        <f t="shared" si="26"/>
        <v>0.28037812908320742</v>
      </c>
      <c r="AF88" s="67">
        <v>2009</v>
      </c>
      <c r="AG88" s="549">
        <f t="shared" si="14"/>
        <v>2.6980863938829203E-2</v>
      </c>
      <c r="AH88" s="119">
        <f t="shared" si="15"/>
        <v>3.443485548064007E-2</v>
      </c>
      <c r="AI88" s="119">
        <f t="shared" si="16"/>
        <v>1.2526436102092253E-2</v>
      </c>
      <c r="AJ88" s="119">
        <f t="shared" si="17"/>
        <v>-1.1395228180101663E-2</v>
      </c>
      <c r="AK88" s="119">
        <f t="shared" si="18"/>
        <v>-3.3212670007005021E-2</v>
      </c>
      <c r="AL88" s="119">
        <f t="shared" si="19"/>
        <v>1.1421072029784082E-3</v>
      </c>
      <c r="AM88" s="119">
        <f t="shared" si="20"/>
        <v>2.4302577079959725E-3</v>
      </c>
      <c r="AN88" s="119">
        <f t="shared" si="22"/>
        <v>-1.0588881476309549E-2</v>
      </c>
      <c r="AO88" s="119">
        <f t="shared" si="23"/>
        <v>-2.5854240949716417E-2</v>
      </c>
      <c r="AP88" s="119">
        <f t="shared" si="24"/>
        <v>-1.0020314332336671E-2</v>
      </c>
      <c r="AQ88" s="119">
        <f t="shared" si="25"/>
        <v>5.7347316808696565E-3</v>
      </c>
      <c r="AR88" s="44">
        <f t="shared" si="27"/>
        <v>4.0571602774938853E-3</v>
      </c>
      <c r="AS88" s="553">
        <f t="shared" si="29"/>
        <v>4.2411017102321454E-3</v>
      </c>
      <c r="AT88" s="116">
        <v>1</v>
      </c>
      <c r="AU88" s="6"/>
    </row>
    <row r="89" spans="1:47" ht="11.25" customHeight="1">
      <c r="A89" s="482">
        <v>2010</v>
      </c>
      <c r="B89" s="622">
        <v>2.7405429649036906E-2</v>
      </c>
      <c r="C89" s="622">
        <v>0.29260340608704299</v>
      </c>
      <c r="D89" s="622">
        <v>0.23836763640736039</v>
      </c>
      <c r="E89" s="622">
        <v>0.12809041614563069</v>
      </c>
      <c r="F89" s="622">
        <v>0.10011466205930925</v>
      </c>
      <c r="G89" s="622">
        <v>6.7603969962233335E-2</v>
      </c>
      <c r="H89" s="622">
        <v>4.5554117438157196E-2</v>
      </c>
      <c r="I89" s="622">
        <v>3.2696959333258217E-2</v>
      </c>
      <c r="J89" s="622">
        <v>4.1447868912844604E-2</v>
      </c>
      <c r="K89" s="622">
        <v>1.8037047691061861E-2</v>
      </c>
      <c r="L89" s="622">
        <v>4.6168239225471029E-3</v>
      </c>
      <c r="M89" s="622">
        <v>3.4616623915172439E-3</v>
      </c>
      <c r="N89" s="619">
        <f>18816/1.1023</f>
        <v>17069.76322235326</v>
      </c>
      <c r="O89" s="597">
        <f t="shared" si="30"/>
        <v>0.21341844965161957</v>
      </c>
      <c r="P89" s="482">
        <v>2010</v>
      </c>
      <c r="Q89" s="110">
        <f>B$271*B181/$AC89</f>
        <v>8.2219908362585498E-2</v>
      </c>
      <c r="R89" s="478">
        <f>C$271*C181/$AC89</f>
        <v>0.2377347962361184</v>
      </c>
      <c r="S89" s="478">
        <f>D$271*D181/$AC89</f>
        <v>0.208127924327832</v>
      </c>
      <c r="T89" s="478">
        <f>E$271*E181/$AC89</f>
        <v>0.12663431474954295</v>
      </c>
      <c r="U89" s="478">
        <f>F$271*F181/$AC89</f>
        <v>0.11160743351633151</v>
      </c>
      <c r="V89" s="478">
        <f>G$271*G181/$AC89</f>
        <v>9.3548735803873795E-2</v>
      </c>
      <c r="W89" s="483">
        <f>H$271*H181/$AC89</f>
        <v>2.8418437175284444E-2</v>
      </c>
      <c r="X89" s="483">
        <f>I$271*I181/$AC89</f>
        <v>1.9241800666138186E-2</v>
      </c>
      <c r="Y89" s="483">
        <f>J$271*J181/$AC89</f>
        <v>3.403938558731269E-2</v>
      </c>
      <c r="Z89" s="483">
        <f>K$271*K181/$AC89</f>
        <v>4.278831858551136E-2</v>
      </c>
      <c r="AA89" s="483">
        <f>L$271*L181/$AC89</f>
        <v>1.4639110120451196E-2</v>
      </c>
      <c r="AB89" s="107">
        <f>M$271*M181/$AC89</f>
        <v>9.9983486901796914E-4</v>
      </c>
      <c r="AC89" s="630">
        <f>SUMPRODUCT($B$271:$M$271,$B181:$M181)</f>
        <v>409.99705057026284</v>
      </c>
      <c r="AD89" s="630">
        <f t="shared" si="10"/>
        <v>52.860832589255793</v>
      </c>
      <c r="AE89" s="542">
        <f t="shared" si="26"/>
        <v>0.23367562280758963</v>
      </c>
      <c r="AF89" s="67">
        <f t="shared" ref="AF89:AF94" si="31">+AF88+1</f>
        <v>2010</v>
      </c>
      <c r="AG89" s="549">
        <f t="shared" si="14"/>
        <v>-5.4814478713548595E-2</v>
      </c>
      <c r="AH89" s="119">
        <f t="shared" si="15"/>
        <v>5.4868609850924593E-2</v>
      </c>
      <c r="AI89" s="119">
        <f t="shared" si="16"/>
        <v>3.0239712079528386E-2</v>
      </c>
      <c r="AJ89" s="119">
        <f t="shared" si="17"/>
        <v>1.4561013960877334E-3</v>
      </c>
      <c r="AK89" s="119">
        <f t="shared" si="18"/>
        <v>-1.1492771457022266E-2</v>
      </c>
      <c r="AL89" s="119">
        <f t="shared" si="19"/>
        <v>-2.594476584164046E-2</v>
      </c>
      <c r="AM89" s="119">
        <f t="shared" si="20"/>
        <v>1.7135680262872752E-2</v>
      </c>
      <c r="AN89" s="119">
        <f t="shared" si="22"/>
        <v>1.3455158667120031E-2</v>
      </c>
      <c r="AO89" s="119">
        <f t="shared" si="23"/>
        <v>7.4084833255319144E-3</v>
      </c>
      <c r="AP89" s="119">
        <f t="shared" si="24"/>
        <v>-2.4751270894449499E-2</v>
      </c>
      <c r="AQ89" s="119">
        <f t="shared" si="25"/>
        <v>-1.0022286197904094E-2</v>
      </c>
      <c r="AR89" s="44">
        <f t="shared" si="27"/>
        <v>2.4618275224992745E-3</v>
      </c>
      <c r="AS89" s="553">
        <f t="shared" si="29"/>
        <v>8.9856571961675364E-3</v>
      </c>
      <c r="AT89" s="116">
        <v>1</v>
      </c>
      <c r="AU89" s="6"/>
    </row>
    <row r="90" spans="1:47" ht="11.25" customHeight="1">
      <c r="A90" s="592">
        <v>2011</v>
      </c>
      <c r="B90" s="622">
        <v>1.3252178576124681E-3</v>
      </c>
      <c r="C90" s="622">
        <v>5.6937773876317738E-2</v>
      </c>
      <c r="D90" s="622">
        <v>0.32392495204353078</v>
      </c>
      <c r="E90" s="622">
        <v>0.23158247932277848</v>
      </c>
      <c r="F90" s="622">
        <v>0.14119982466292327</v>
      </c>
      <c r="G90" s="622">
        <v>0.1050424927784246</v>
      </c>
      <c r="H90" s="622">
        <v>5.2653406291541111E-2</v>
      </c>
      <c r="I90" s="622">
        <v>3.9623944019993335E-2</v>
      </c>
      <c r="J90" s="622">
        <v>2.4054045583951637E-2</v>
      </c>
      <c r="K90" s="622">
        <v>1.8075612907605777E-2</v>
      </c>
      <c r="L90" s="622">
        <v>4.8386644716047729E-3</v>
      </c>
      <c r="M90" s="622">
        <v>7.4158618371604197E-4</v>
      </c>
      <c r="N90" s="619">
        <f>16970/1.1023</f>
        <v>15395.083008255466</v>
      </c>
      <c r="O90" s="597">
        <f t="shared" si="30"/>
        <v>0.24502975223683729</v>
      </c>
      <c r="P90" s="482">
        <v>2011</v>
      </c>
      <c r="Q90" s="110">
        <f>B$271*B182/$AC90</f>
        <v>6.0383698600942053E-2</v>
      </c>
      <c r="R90" s="478">
        <f>C$271*C182/$AC90</f>
        <v>0.15930948116687654</v>
      </c>
      <c r="S90" s="478">
        <f>D$271*D182/$AC90</f>
        <v>0.31844533841148837</v>
      </c>
      <c r="T90" s="478">
        <f>E$271*E182/$AC90</f>
        <v>0.18896921162139707</v>
      </c>
      <c r="U90" s="478">
        <f>F$271*F182/$AC90</f>
        <v>8.6918861045842843E-2</v>
      </c>
      <c r="V90" s="478">
        <f>G$271*G182/$AC90</f>
        <v>6.9341179145403317E-2</v>
      </c>
      <c r="W90" s="483">
        <f>H$271*H182/$AC90</f>
        <v>5.3019712422794386E-2</v>
      </c>
      <c r="X90" s="483">
        <f>I$271*I182/$AC90</f>
        <v>1.4001654423198277E-2</v>
      </c>
      <c r="Y90" s="483">
        <f>J$271*J182/$AC90</f>
        <v>8.5525163579085357E-3</v>
      </c>
      <c r="Z90" s="483">
        <f>K$271*K182/$AC90</f>
        <v>1.5806698364336891E-2</v>
      </c>
      <c r="AA90" s="483">
        <f>L$271*L182/$AC90</f>
        <v>1.9209515501868949E-2</v>
      </c>
      <c r="AB90" s="107">
        <f>M$271*M182/$AC90</f>
        <v>6.0421329379423501E-3</v>
      </c>
      <c r="AC90" s="630">
        <f>SUMPRODUCT($B$271:$M$271,$B182:$M182)</f>
        <v>462.86422760714754</v>
      </c>
      <c r="AD90" s="630">
        <f t="shared" si="10"/>
        <v>49.886965576289164</v>
      </c>
      <c r="AE90" s="542">
        <f t="shared" si="26"/>
        <v>0.18597340915345273</v>
      </c>
      <c r="AF90" s="482">
        <f t="shared" si="31"/>
        <v>2011</v>
      </c>
      <c r="AG90" s="119">
        <f t="shared" si="14"/>
        <v>-5.9058480743329582E-2</v>
      </c>
      <c r="AH90" s="119">
        <f t="shared" si="15"/>
        <v>-0.10237170729055881</v>
      </c>
      <c r="AI90" s="119">
        <f t="shared" si="16"/>
        <v>5.4796136320424127E-3</v>
      </c>
      <c r="AJ90" s="119">
        <f t="shared" si="17"/>
        <v>4.2613267701381408E-2</v>
      </c>
      <c r="AK90" s="119">
        <f t="shared" si="18"/>
        <v>5.428096361708043E-2</v>
      </c>
      <c r="AL90" s="119">
        <f t="shared" si="19"/>
        <v>3.5701313633021287E-2</v>
      </c>
      <c r="AM90" s="119">
        <f t="shared" si="20"/>
        <v>-3.6630613125327588E-4</v>
      </c>
      <c r="AN90" s="119">
        <f t="shared" si="22"/>
        <v>2.5622289596795057E-2</v>
      </c>
      <c r="AO90" s="119">
        <f t="shared" si="23"/>
        <v>1.5501529226043101E-2</v>
      </c>
      <c r="AP90" s="119">
        <f t="shared" si="24"/>
        <v>2.2689145432688851E-3</v>
      </c>
      <c r="AQ90" s="119">
        <f t="shared" si="25"/>
        <v>-1.4370851030264177E-2</v>
      </c>
      <c r="AR90" s="44">
        <f t="shared" si="27"/>
        <v>-5.3005467542263079E-3</v>
      </c>
      <c r="AS90" s="553">
        <f t="shared" si="29"/>
        <v>2.1171492598504441E-2</v>
      </c>
      <c r="AT90" s="116">
        <v>1</v>
      </c>
      <c r="AU90" s="6"/>
    </row>
    <row r="91" spans="1:47" ht="11.25" customHeight="1">
      <c r="A91" s="592">
        <v>2012</v>
      </c>
      <c r="B91" s="622">
        <v>1.0218141364630598E-2</v>
      </c>
      <c r="C91" s="622">
        <v>0.10274514028884582</v>
      </c>
      <c r="D91" s="622">
        <v>0.2055660369426609</v>
      </c>
      <c r="E91" s="622">
        <v>0.37860642522499216</v>
      </c>
      <c r="F91" s="622">
        <v>0.1531068002734326</v>
      </c>
      <c r="G91" s="622">
        <v>7.0427964577079144E-2</v>
      </c>
      <c r="H91" s="622">
        <v>3.8310942753684955E-2</v>
      </c>
      <c r="I91" s="622">
        <v>1.9869724691406569E-2</v>
      </c>
      <c r="J91" s="622">
        <v>1.0323494527816373E-2</v>
      </c>
      <c r="K91" s="622">
        <v>7.0424681685491864E-3</v>
      </c>
      <c r="L91" s="622">
        <v>2.5798746999926223E-3</v>
      </c>
      <c r="M91" s="622">
        <v>7.0778362270241017E-4</v>
      </c>
      <c r="N91" s="596">
        <f>12993.7/1.1023</f>
        <v>11787.807311984034</v>
      </c>
      <c r="O91" s="467">
        <f t="shared" si="30"/>
        <v>0.14926225304123128</v>
      </c>
      <c r="P91" s="482">
        <v>2012</v>
      </c>
      <c r="Q91" s="478">
        <f>B$271*B183/$AC91</f>
        <v>3.1428298935191168E-2</v>
      </c>
      <c r="R91" s="478">
        <f>C$271*C183/$AC91</f>
        <v>0.12283010820495613</v>
      </c>
      <c r="S91" s="478">
        <f>D$271*D183/$AC91</f>
        <v>0.2255311534889381</v>
      </c>
      <c r="T91" s="478">
        <f>E$271*E183/$AC91</f>
        <v>0.30994938434723751</v>
      </c>
      <c r="U91" s="478">
        <f>F$271*F183/$AC91</f>
        <v>0.14717495221805937</v>
      </c>
      <c r="V91" s="478">
        <f>G$271*G183/$AC91</f>
        <v>6.0959351700335236E-2</v>
      </c>
      <c r="W91" s="483">
        <f>H$271*H183/$AC91</f>
        <v>4.3391717342836512E-2</v>
      </c>
      <c r="X91" s="483">
        <f>I$271*I183/$AC91</f>
        <v>3.1347690557425867E-2</v>
      </c>
      <c r="Y91" s="483">
        <f>J$271*J183/$AC91</f>
        <v>7.146549346868581E-3</v>
      </c>
      <c r="Z91" s="483">
        <f>K$271*K183/$AC91</f>
        <v>3.9470500532485502E-3</v>
      </c>
      <c r="AA91" s="483">
        <f>L$271*L183/$AC91</f>
        <v>7.615545394421123E-3</v>
      </c>
      <c r="AB91" s="107">
        <f>M$271*M183/$AC91</f>
        <v>8.6781984104818358E-3</v>
      </c>
      <c r="AC91" s="631">
        <f>SUMPRODUCT($B$271:$M$271,$B183:$M183)</f>
        <v>499.28133007418597</v>
      </c>
      <c r="AD91" s="630">
        <f t="shared" si="10"/>
        <v>38.760674469082907</v>
      </c>
      <c r="AE91" s="542">
        <f t="shared" si="26"/>
        <v>0.16308610280561775</v>
      </c>
      <c r="AF91" s="67">
        <f t="shared" si="31"/>
        <v>2012</v>
      </c>
      <c r="AG91" s="549">
        <f t="shared" si="14"/>
        <v>-2.1210157570560571E-2</v>
      </c>
      <c r="AH91" s="119">
        <f t="shared" si="15"/>
        <v>-2.0084967916110308E-2</v>
      </c>
      <c r="AI91" s="119">
        <f t="shared" si="16"/>
        <v>-1.9965116546277195E-2</v>
      </c>
      <c r="AJ91" s="119">
        <f t="shared" si="17"/>
        <v>6.8657040877754649E-2</v>
      </c>
      <c r="AK91" s="119">
        <f t="shared" si="18"/>
        <v>5.9318480553732233E-3</v>
      </c>
      <c r="AL91" s="119">
        <f t="shared" si="19"/>
        <v>9.4686128767439079E-3</v>
      </c>
      <c r="AM91" s="119">
        <f t="shared" si="20"/>
        <v>-5.0807745891515571E-3</v>
      </c>
      <c r="AN91" s="119">
        <f t="shared" si="22"/>
        <v>-1.1477965866019298E-2</v>
      </c>
      <c r="AO91" s="119">
        <f t="shared" si="23"/>
        <v>3.1769451809477919E-3</v>
      </c>
      <c r="AP91" s="119">
        <f t="shared" si="24"/>
        <v>3.0954181153006362E-3</v>
      </c>
      <c r="AQ91" s="119">
        <f t="shared" si="25"/>
        <v>-5.0356706944285007E-3</v>
      </c>
      <c r="AR91" s="44">
        <f t="shared" si="27"/>
        <v>-7.9704147877794253E-3</v>
      </c>
      <c r="AS91" s="553">
        <f t="shared" si="29"/>
        <v>6.3566313683874999E-3</v>
      </c>
      <c r="AT91" s="116">
        <v>1</v>
      </c>
      <c r="AU91" s="6"/>
    </row>
    <row r="92" spans="1:47" ht="11.25" customHeight="1">
      <c r="A92" s="592">
        <v>2013</v>
      </c>
      <c r="B92" s="622">
        <v>2.6832965695845778E-3</v>
      </c>
      <c r="C92" s="622">
        <v>2.9908689459439631E-2</v>
      </c>
      <c r="D92" s="622">
        <v>0.12162348130191522</v>
      </c>
      <c r="E92" s="622">
        <v>0.2836208313973782</v>
      </c>
      <c r="F92" s="622">
        <v>0.30145398989537858</v>
      </c>
      <c r="G92" s="622">
        <v>0.13047341031812787</v>
      </c>
      <c r="H92" s="622">
        <v>6.55210818198384E-2</v>
      </c>
      <c r="I92" s="622">
        <v>2.8931584090338521E-2</v>
      </c>
      <c r="J92" s="622">
        <v>1.9537083074120064E-2</v>
      </c>
      <c r="K92" s="622">
        <v>1.0116883424181421E-2</v>
      </c>
      <c r="L92" s="622">
        <v>4.5931899722508841E-3</v>
      </c>
      <c r="M92" s="622">
        <v>1.5364786774466855E-3</v>
      </c>
      <c r="N92" s="596">
        <f>19366.4/1.1023</f>
        <v>17569.082826816655</v>
      </c>
      <c r="O92" s="467">
        <f t="shared" si="30"/>
        <v>0.26070971137630383</v>
      </c>
      <c r="P92" s="482">
        <v>2013</v>
      </c>
      <c r="Q92" s="478">
        <f>B$271*B184/$AC92</f>
        <v>2.5419547389692928E-2</v>
      </c>
      <c r="R92" s="478">
        <f>C$271*C184/$AC92</f>
        <v>6.848549180622035E-2</v>
      </c>
      <c r="S92" s="478">
        <f>D$271*D184/$AC92</f>
        <v>0.18747508827683398</v>
      </c>
      <c r="T92" s="478">
        <f>E$271*E184/$AC92</f>
        <v>0.23886711974228497</v>
      </c>
      <c r="U92" s="478">
        <f>F$271*F184/$AC92</f>
        <v>0.26582896713616949</v>
      </c>
      <c r="V92" s="478">
        <f>G$271*G184/$AC92</f>
        <v>0.1158673414967745</v>
      </c>
      <c r="W92" s="483">
        <f>H$271*H184/$AC92</f>
        <v>4.1651529265626576E-2</v>
      </c>
      <c r="X92" s="483">
        <f>I$271*I184/$AC92</f>
        <v>2.7967560132448801E-2</v>
      </c>
      <c r="Y92" s="483">
        <f>J$271*J184/$AC92</f>
        <v>1.8984850197446411E-2</v>
      </c>
      <c r="Z92" s="483">
        <f>K$271*K184/$AC92</f>
        <v>3.7281522963365601E-3</v>
      </c>
      <c r="AA92" s="483">
        <f>L$271*L184/$AC92</f>
        <v>1.9539649122459926E-3</v>
      </c>
      <c r="AB92" s="107">
        <f>M$271*M184/$AC92</f>
        <v>3.7703873479194138E-3</v>
      </c>
      <c r="AC92" s="631">
        <f>SUMPRODUCT($B$271:$M$271,$B184:$M184)</f>
        <v>504.79262407363893</v>
      </c>
      <c r="AD92" s="630">
        <f t="shared" si="10"/>
        <v>50.473865584344296</v>
      </c>
      <c r="AE92" s="116">
        <f t="shared" si="26"/>
        <v>0.21392378564879824</v>
      </c>
      <c r="AF92" s="67">
        <f t="shared" si="31"/>
        <v>2013</v>
      </c>
      <c r="AG92" s="549">
        <f t="shared" si="14"/>
        <v>-2.2736250820108349E-2</v>
      </c>
      <c r="AH92" s="119">
        <f t="shared" si="15"/>
        <v>-3.8576802346780723E-2</v>
      </c>
      <c r="AI92" s="119">
        <f t="shared" si="16"/>
        <v>-6.5851606974918764E-2</v>
      </c>
      <c r="AJ92" s="119">
        <f t="shared" si="17"/>
        <v>4.4753711655093231E-2</v>
      </c>
      <c r="AK92" s="119">
        <f t="shared" si="18"/>
        <v>3.5625022759209091E-2</v>
      </c>
      <c r="AL92" s="119">
        <f t="shared" si="19"/>
        <v>1.4606068821353374E-2</v>
      </c>
      <c r="AM92" s="119">
        <f t="shared" si="20"/>
        <v>2.3869552554211824E-2</v>
      </c>
      <c r="AN92" s="119">
        <f t="shared" si="22"/>
        <v>9.6402395788972028E-4</v>
      </c>
      <c r="AO92" s="119">
        <f t="shared" si="23"/>
        <v>5.5223287667365353E-4</v>
      </c>
      <c r="AP92" s="119">
        <f t="shared" si="24"/>
        <v>6.3887311278448614E-3</v>
      </c>
      <c r="AQ92" s="119">
        <f t="shared" si="25"/>
        <v>2.6392250600048915E-3</v>
      </c>
      <c r="AR92" s="44">
        <f t="shared" si="27"/>
        <v>-2.2339086704727283E-3</v>
      </c>
      <c r="AS92" s="628">
        <f t="shared" si="29"/>
        <v>1.0450676706521148E-2</v>
      </c>
      <c r="AT92" s="109">
        <v>1</v>
      </c>
    </row>
    <row r="93" spans="1:47" s="493" customFormat="1" ht="11.25" customHeight="1">
      <c r="A93" s="34">
        <v>2014</v>
      </c>
      <c r="B93" s="622">
        <v>1.0708627400847465E-2</v>
      </c>
      <c r="C93" s="622">
        <v>6.7643578764351467E-2</v>
      </c>
      <c r="D93" s="622">
        <v>0.11257238612910554</v>
      </c>
      <c r="E93" s="622">
        <v>0.25541486957565979</v>
      </c>
      <c r="F93" s="622">
        <v>0.26611110860313814</v>
      </c>
      <c r="G93" s="622">
        <v>0.17402236493964407</v>
      </c>
      <c r="H93" s="622">
        <v>6.4161797534053072E-2</v>
      </c>
      <c r="I93" s="622">
        <v>2.8600334734137069E-2</v>
      </c>
      <c r="J93" s="622">
        <v>1.0303948990415913E-2</v>
      </c>
      <c r="K93" s="622">
        <v>6.7142265790281676E-3</v>
      </c>
      <c r="L93" s="622">
        <v>1.3169621246151967E-3</v>
      </c>
      <c r="M93" s="622">
        <v>2.4297946250041815E-3</v>
      </c>
      <c r="N93" s="596">
        <f>19544/1.1023</f>
        <v>17730.200489884784</v>
      </c>
      <c r="O93" s="597">
        <f t="shared" si="30"/>
        <v>0.28754942952689766</v>
      </c>
      <c r="P93" s="34">
        <v>2014</v>
      </c>
      <c r="Q93" s="478">
        <f>B$271*B185/$AC93</f>
        <v>3.1864531146763249E-2</v>
      </c>
      <c r="R93" s="478">
        <f>C$271*C185/$AC93</f>
        <v>6.0514803425000797E-2</v>
      </c>
      <c r="S93" s="478">
        <f>D$271*D185/$AC93</f>
        <v>0.11357255360304011</v>
      </c>
      <c r="T93" s="478">
        <f>E$271*E185/$AC93</f>
        <v>0.21385538241417659</v>
      </c>
      <c r="U93" s="478">
        <f>F$271*F185/$AC93</f>
        <v>0.21635461529023936</v>
      </c>
      <c r="V93" s="478">
        <f>G$271*G185/$AC93</f>
        <v>0.22202671625135326</v>
      </c>
      <c r="W93" s="483">
        <f>H$271*H185/$AC93</f>
        <v>8.467606865237956E-2</v>
      </c>
      <c r="X93" s="483">
        <f>I$271*I185/$AC93</f>
        <v>2.6448622075888779E-2</v>
      </c>
      <c r="Y93" s="483">
        <f>J$271*J185/$AC93</f>
        <v>1.6983391363767045E-2</v>
      </c>
      <c r="Z93" s="483">
        <f>K$271*K185/$AC93</f>
        <v>1.1337411410259606E-2</v>
      </c>
      <c r="AA93" s="483">
        <f>L$271*L185/$AC93</f>
        <v>1.5344973435813386E-3</v>
      </c>
      <c r="AB93" s="107">
        <f>M$271*M185/$AC93</f>
        <v>8.3140702355033165E-4</v>
      </c>
      <c r="AC93" s="663">
        <f>SUMPRODUCT($B$271:$M$271,$B185:$M185)</f>
        <v>465.73785049707277</v>
      </c>
      <c r="AD93" s="663">
        <f t="shared" si="10"/>
        <v>49.167369887595491</v>
      </c>
      <c r="AE93" s="121">
        <f t="shared" si="26"/>
        <v>0.36383811412077993</v>
      </c>
      <c r="AF93" s="34">
        <f t="shared" si="31"/>
        <v>2014</v>
      </c>
      <c r="AG93" s="119">
        <f t="shared" si="14"/>
        <v>-2.1155903745915784E-2</v>
      </c>
      <c r="AH93" s="119">
        <f t="shared" si="15"/>
        <v>7.1287753393506695E-3</v>
      </c>
      <c r="AI93" s="119">
        <f t="shared" si="16"/>
        <v>-1.0001674739345684E-3</v>
      </c>
      <c r="AJ93" s="119">
        <f t="shared" si="17"/>
        <v>4.1559487161483194E-2</v>
      </c>
      <c r="AK93" s="119">
        <f t="shared" si="18"/>
        <v>4.9756493312898775E-2</v>
      </c>
      <c r="AL93" s="119">
        <f t="shared" si="19"/>
        <v>-4.8004351311709187E-2</v>
      </c>
      <c r="AM93" s="119">
        <f t="shared" si="20"/>
        <v>-2.0514271118326488E-2</v>
      </c>
      <c r="AN93" s="119">
        <f t="shared" si="22"/>
        <v>2.1517126582482893E-3</v>
      </c>
      <c r="AO93" s="119">
        <f t="shared" si="23"/>
        <v>-6.679442373351132E-3</v>
      </c>
      <c r="AP93" s="119">
        <f t="shared" si="24"/>
        <v>-4.6231848312314385E-3</v>
      </c>
      <c r="AQ93" s="119">
        <f t="shared" si="25"/>
        <v>-2.1753521896614191E-4</v>
      </c>
      <c r="AR93" s="44">
        <f t="shared" si="27"/>
        <v>1.59838760145385E-3</v>
      </c>
      <c r="AS93" s="45">
        <f>SUMSQ(AG93:AR93)</f>
        <v>7.5007655206798165E-3</v>
      </c>
      <c r="AT93" s="494">
        <v>1</v>
      </c>
    </row>
    <row r="94" spans="1:47" s="493" customFormat="1" ht="11.25" customHeight="1">
      <c r="A94" s="34">
        <v>2015</v>
      </c>
      <c r="B94" s="622">
        <v>1.1764463381319309E-2</v>
      </c>
      <c r="C94" s="622">
        <v>5.2485575027847273E-2</v>
      </c>
      <c r="D94" s="622">
        <v>0.15952485025009189</v>
      </c>
      <c r="E94" s="622">
        <v>0.11734466837500188</v>
      </c>
      <c r="F94" s="622">
        <v>0.22619236447888316</v>
      </c>
      <c r="G94" s="622">
        <v>0.20211160322835622</v>
      </c>
      <c r="H94" s="622">
        <v>0.16195320122885382</v>
      </c>
      <c r="I94" s="622">
        <v>4.6688291140235046E-2</v>
      </c>
      <c r="J94" s="622">
        <v>1.6434900336596277E-2</v>
      </c>
      <c r="K94" s="622">
        <v>3.4399295250925103E-3</v>
      </c>
      <c r="L94" s="622">
        <v>1.2274754840399321E-3</v>
      </c>
      <c r="M94" s="622">
        <v>8.3267754368273423E-4</v>
      </c>
      <c r="N94" s="618">
        <f>21395.7/1.1023</f>
        <v>19410.051710060783</v>
      </c>
      <c r="O94" s="597">
        <f t="shared" si="30"/>
        <v>0.43268807848685653</v>
      </c>
      <c r="P94" s="482">
        <v>2015</v>
      </c>
      <c r="Q94" s="478">
        <f>B$271*B186/$AC94</f>
        <v>3.5621750627237367E-2</v>
      </c>
      <c r="R94" s="478">
        <f>C$271*C186/$AC94</f>
        <v>7.8126348112097802E-2</v>
      </c>
      <c r="S94" s="478">
        <f>D$271*D186/$AC94</f>
        <v>0.10277292253617545</v>
      </c>
      <c r="T94" s="478">
        <f>E$271*E186/$AC94</f>
        <v>0.13119432904066974</v>
      </c>
      <c r="U94" s="478">
        <f>F$271*F186/$AC94</f>
        <v>0.19818868376143353</v>
      </c>
      <c r="V94" s="478">
        <f>G$271*G186/$AC94</f>
        <v>0.18311222074903449</v>
      </c>
      <c r="W94" s="483">
        <f>H$271*H186/$AC94</f>
        <v>0.17279325518071387</v>
      </c>
      <c r="X94" s="483">
        <f>I$271*I186/$AC94</f>
        <v>6.1760481475879231E-2</v>
      </c>
      <c r="Y94" s="483">
        <f>J$271*J186/$AC94</f>
        <v>1.7907627397468841E-2</v>
      </c>
      <c r="Z94" s="483">
        <f>K$271*K186/$AC94</f>
        <v>1.0935665081422829E-2</v>
      </c>
      <c r="AA94" s="483">
        <f>L$271*L186/$AC94</f>
        <v>6.7424191672390025E-3</v>
      </c>
      <c r="AB94" s="107"/>
      <c r="AC94" s="663">
        <f>SUMPRODUCT($B$271:$M$271,$B186:$M186)</f>
        <v>416.6139502431717</v>
      </c>
      <c r="AD94" s="663">
        <f t="shared" si="10"/>
        <v>51.945062538517433</v>
      </c>
      <c r="AE94" s="121">
        <f t="shared" si="26"/>
        <v>0.45325166905175829</v>
      </c>
      <c r="AF94" s="34">
        <f t="shared" si="31"/>
        <v>2015</v>
      </c>
      <c r="AG94" s="119">
        <f t="shared" si="14"/>
        <v>-2.3857287245918058E-2</v>
      </c>
      <c r="AH94" s="119">
        <f t="shared" si="15"/>
        <v>-2.5640773084250529E-2</v>
      </c>
      <c r="AI94" s="119">
        <f t="shared" si="16"/>
        <v>5.6751927713916434E-2</v>
      </c>
      <c r="AJ94" s="119">
        <f t="shared" si="17"/>
        <v>-1.3849660665667868E-2</v>
      </c>
      <c r="AK94" s="119">
        <f t="shared" si="18"/>
        <v>2.800368071744963E-2</v>
      </c>
      <c r="AL94" s="119">
        <f t="shared" si="19"/>
        <v>1.899938247932173E-2</v>
      </c>
      <c r="AM94" s="119">
        <f t="shared" si="20"/>
        <v>-1.0840053951860051E-2</v>
      </c>
      <c r="AN94" s="119">
        <f t="shared" si="22"/>
        <v>-1.5072190335644185E-2</v>
      </c>
      <c r="AO94" s="119">
        <f t="shared" si="23"/>
        <v>-1.472727060872564E-3</v>
      </c>
      <c r="AP94" s="119">
        <f t="shared" si="24"/>
        <v>-7.4957355563303185E-3</v>
      </c>
      <c r="AQ94" s="119">
        <f t="shared" si="25"/>
        <v>-5.5149436831990707E-3</v>
      </c>
      <c r="AR94" s="44">
        <f t="shared" si="27"/>
        <v>8.3267754368273423E-4</v>
      </c>
      <c r="AS94" s="45">
        <f>SUMSQ(AG94:AR94)</f>
        <v>6.2185370906524262E-3</v>
      </c>
      <c r="AT94" s="494">
        <v>1</v>
      </c>
    </row>
    <row r="95" spans="1:47" s="493" customFormat="1" ht="11.25" customHeight="1">
      <c r="A95" s="34">
        <v>2016</v>
      </c>
      <c r="B95" s="721"/>
      <c r="C95" s="721"/>
      <c r="D95" s="721"/>
      <c r="E95" s="721"/>
      <c r="F95" s="721"/>
      <c r="G95" s="721"/>
      <c r="H95" s="721"/>
      <c r="I95" s="721"/>
      <c r="J95" s="721"/>
      <c r="K95" s="721"/>
      <c r="L95" s="721"/>
      <c r="M95" s="721"/>
      <c r="N95" s="722">
        <f>14879/1.1023</f>
        <v>13498.140252199944</v>
      </c>
      <c r="O95" s="597"/>
      <c r="P95" s="34">
        <v>2016</v>
      </c>
      <c r="Q95" s="478"/>
      <c r="R95" s="478"/>
      <c r="S95" s="478"/>
      <c r="T95" s="478"/>
      <c r="U95" s="478"/>
      <c r="V95" s="478"/>
      <c r="W95" s="483"/>
      <c r="X95" s="483"/>
      <c r="Y95" s="483"/>
      <c r="Z95" s="483"/>
      <c r="AA95" s="483"/>
      <c r="AB95" s="107"/>
      <c r="AC95" s="663"/>
      <c r="AD95" s="663"/>
      <c r="AE95" s="121"/>
      <c r="AF95" s="34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44"/>
      <c r="AS95" s="45"/>
      <c r="AT95" s="494"/>
    </row>
    <row r="96" spans="1:47" s="493" customFormat="1" ht="11.25" customHeight="1">
      <c r="A96" s="34">
        <v>2017</v>
      </c>
      <c r="B96" s="721">
        <f>'[4]PurseSeine Biomass'!$AS$17</f>
        <v>2.8189226218597721E-2</v>
      </c>
      <c r="C96" s="721">
        <f>'[4]PurseSeine Biomass'!$AS$18</f>
        <v>2.7546556172919057E-2</v>
      </c>
      <c r="D96" s="721">
        <f>'[4]PurseSeine Biomass'!$AS$19</f>
        <v>8.890641946288913E-2</v>
      </c>
      <c r="E96" s="721">
        <f>'[4]PurseSeine Biomass'!$AS$20</f>
        <v>0.1770638602132624</v>
      </c>
      <c r="F96" s="721">
        <f>'[4]PurseSeine Biomass'!$AS$21</f>
        <v>0.21551746554514309</v>
      </c>
      <c r="G96" s="721">
        <f>'[4]PurseSeine Biomass'!$AS$22</f>
        <v>0.18598682207665401</v>
      </c>
      <c r="H96" s="721">
        <f>'[4]PurseSeine Biomass'!$AS$23</f>
        <v>0.15560282669980352</v>
      </c>
      <c r="I96" s="721">
        <f>'[4]PurseSeine Biomass'!$AS$24</f>
        <v>7.8930905817044747E-2</v>
      </c>
      <c r="J96" s="721">
        <f>'[4]PurseSeine Biomass'!$AS$25</f>
        <v>2.8895475583182915E-2</v>
      </c>
      <c r="K96" s="721">
        <f>'[4]PurseSeine Biomass'!$AS$26</f>
        <v>8.4341533171073974E-3</v>
      </c>
      <c r="L96" s="721">
        <f>'[4]PurseSeine Biomass'!$AS$27</f>
        <v>3.6561656134985257E-3</v>
      </c>
      <c r="M96" s="721">
        <f>SUM('[4]PurseSeine Biomass'!$AS$28:$AS$32)</f>
        <v>1.2701232798973149E-3</v>
      </c>
      <c r="N96" s="722">
        <f>[7]Harvest!$T$16/1.1023</f>
        <v>14321.781729111855</v>
      </c>
      <c r="O96" s="597"/>
      <c r="P96" s="482">
        <v>2017</v>
      </c>
      <c r="Q96" s="478"/>
      <c r="R96" s="478"/>
      <c r="S96" s="478"/>
      <c r="T96" s="478"/>
      <c r="U96" s="478"/>
      <c r="V96" s="478"/>
      <c r="W96" s="483"/>
      <c r="X96" s="483"/>
      <c r="Y96" s="483"/>
      <c r="Z96" s="483"/>
      <c r="AA96" s="483"/>
      <c r="AB96" s="107"/>
      <c r="AC96" s="625"/>
      <c r="AD96" s="625"/>
      <c r="AE96" s="626"/>
      <c r="AF96" s="627"/>
    </row>
    <row r="97" spans="1:46" ht="11.25" customHeight="1">
      <c r="B97" s="32"/>
      <c r="C97" s="32"/>
      <c r="D97" s="32"/>
      <c r="E97" s="32"/>
      <c r="F97" s="32"/>
      <c r="M97" s="32"/>
      <c r="O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623"/>
      <c r="AD97" s="623"/>
      <c r="AE97" s="623"/>
      <c r="AF97" s="624"/>
      <c r="AI97" s="7" t="s">
        <v>12</v>
      </c>
      <c r="AP97" s="59"/>
      <c r="AQ97" s="554" t="s">
        <v>29</v>
      </c>
      <c r="AR97" s="555"/>
      <c r="AS97" s="556">
        <f>SUM(AS59:AS94)</f>
        <v>0.59886836800923637</v>
      </c>
      <c r="AT97" s="557">
        <f>SUMPRODUCT(AS59:AS94,AT59:AT94)</f>
        <v>0.59886836800923637</v>
      </c>
    </row>
    <row r="98" spans="1:46" ht="11.25" customHeight="1">
      <c r="B98" s="32"/>
      <c r="C98" s="32"/>
      <c r="D98" s="32"/>
      <c r="E98" s="32"/>
      <c r="F98" s="32"/>
      <c r="G98" s="125"/>
      <c r="H98" s="494" t="s">
        <v>12</v>
      </c>
      <c r="M98" s="32"/>
      <c r="O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P98" s="59"/>
      <c r="AQ98" s="126" t="s">
        <v>30</v>
      </c>
      <c r="AR98" s="83"/>
      <c r="AS98" s="127">
        <f>COUNT(AG59:AR94)</f>
        <v>417</v>
      </c>
    </row>
    <row r="99" spans="1:46" ht="11.25" customHeight="1">
      <c r="A99" s="25"/>
      <c r="M99" s="5"/>
      <c r="O99" s="5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129"/>
      <c r="AR99" s="7"/>
      <c r="AS99" s="17"/>
    </row>
    <row r="100" spans="1:46" ht="11.25" customHeight="1">
      <c r="A100" s="24" t="s">
        <v>31</v>
      </c>
      <c r="B100" s="19"/>
      <c r="C100" s="19"/>
      <c r="D100" s="19"/>
      <c r="E100" s="19"/>
      <c r="F100" s="19"/>
      <c r="G100" s="19"/>
      <c r="H100" s="19"/>
      <c r="I100" s="19" t="s">
        <v>17</v>
      </c>
      <c r="J100" s="19"/>
      <c r="K100" s="19"/>
      <c r="L100" s="20"/>
      <c r="P100" s="91" t="s">
        <v>32</v>
      </c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20"/>
      <c r="AC100" s="105" t="s">
        <v>20</v>
      </c>
      <c r="AF100" s="91" t="s">
        <v>21</v>
      </c>
      <c r="AG100" s="19"/>
      <c r="AH100" s="19"/>
      <c r="AI100" s="19"/>
      <c r="AJ100" s="19"/>
      <c r="AK100" s="20"/>
      <c r="AL100" s="21" t="s">
        <v>33</v>
      </c>
      <c r="AM100" s="20"/>
      <c r="AN100" s="5"/>
      <c r="AO100" s="5"/>
      <c r="AP100" s="5"/>
      <c r="AQ100" s="5"/>
      <c r="AR100" s="23"/>
      <c r="AS100" s="5"/>
    </row>
    <row r="101" spans="1:46" ht="11.25" customHeight="1">
      <c r="B101" s="29"/>
      <c r="C101" s="83"/>
      <c r="D101" s="83"/>
      <c r="E101" s="460" t="s">
        <v>9</v>
      </c>
      <c r="F101" s="83"/>
      <c r="G101" s="83"/>
      <c r="H101" s="83"/>
      <c r="I101" s="459"/>
      <c r="J101" s="83"/>
      <c r="K101" s="83"/>
      <c r="L101" s="83"/>
      <c r="M101" s="20"/>
      <c r="Q101" s="26"/>
      <c r="R101" s="19"/>
      <c r="S101" s="19"/>
      <c r="T101" s="27" t="s">
        <v>9</v>
      </c>
      <c r="U101" s="19" t="s">
        <v>34</v>
      </c>
      <c r="V101" s="19"/>
      <c r="W101" s="20"/>
      <c r="X101" s="28"/>
      <c r="Y101" s="19"/>
      <c r="Z101" s="19"/>
      <c r="AA101" s="19"/>
      <c r="AB101" s="20"/>
      <c r="AC101" s="109" t="s">
        <v>23</v>
      </c>
      <c r="AD101" s="7"/>
      <c r="AE101" s="7"/>
      <c r="AG101" s="26"/>
      <c r="AH101" s="19"/>
      <c r="AI101" s="19"/>
      <c r="AJ101" s="27" t="s">
        <v>9</v>
      </c>
      <c r="AK101" s="19"/>
      <c r="AL101" s="19"/>
      <c r="AM101" s="19"/>
      <c r="AN101" s="28"/>
      <c r="AO101" s="19"/>
      <c r="AP101" s="19"/>
      <c r="AQ101" s="19"/>
      <c r="AR101" s="93"/>
      <c r="AS101" s="5"/>
    </row>
    <row r="102" spans="1:46" ht="11.25" customHeight="1">
      <c r="A102" s="423" t="s">
        <v>10</v>
      </c>
      <c r="B102" s="31">
        <f>first_age</f>
        <v>4</v>
      </c>
      <c r="C102" s="31">
        <f t="shared" ref="C102:M102" si="32">+B102+1</f>
        <v>5</v>
      </c>
      <c r="D102" s="31">
        <f t="shared" si="32"/>
        <v>6</v>
      </c>
      <c r="E102" s="31">
        <f t="shared" si="32"/>
        <v>7</v>
      </c>
      <c r="F102" s="31">
        <f t="shared" si="32"/>
        <v>8</v>
      </c>
      <c r="G102" s="31">
        <f t="shared" si="32"/>
        <v>9</v>
      </c>
      <c r="H102" s="31">
        <f t="shared" si="32"/>
        <v>10</v>
      </c>
      <c r="I102" s="31">
        <f t="shared" si="32"/>
        <v>11</v>
      </c>
      <c r="J102" s="31">
        <f t="shared" si="32"/>
        <v>12</v>
      </c>
      <c r="K102" s="31">
        <f t="shared" si="32"/>
        <v>13</v>
      </c>
      <c r="L102" s="31">
        <f t="shared" si="32"/>
        <v>14</v>
      </c>
      <c r="M102" s="31">
        <f t="shared" si="32"/>
        <v>15</v>
      </c>
      <c r="P102" s="423" t="s">
        <v>10</v>
      </c>
      <c r="Q102" s="31">
        <f>first_age</f>
        <v>4</v>
      </c>
      <c r="R102" s="31">
        <f t="shared" ref="R102:AB102" si="33">Q102+1</f>
        <v>5</v>
      </c>
      <c r="S102" s="31">
        <f t="shared" si="33"/>
        <v>6</v>
      </c>
      <c r="T102" s="31">
        <f t="shared" si="33"/>
        <v>7</v>
      </c>
      <c r="U102" s="31">
        <f t="shared" si="33"/>
        <v>8</v>
      </c>
      <c r="V102" s="31">
        <f t="shared" si="33"/>
        <v>9</v>
      </c>
      <c r="W102" s="31">
        <f t="shared" si="33"/>
        <v>10</v>
      </c>
      <c r="X102" s="31">
        <f t="shared" si="33"/>
        <v>11</v>
      </c>
      <c r="Y102" s="31">
        <f t="shared" si="33"/>
        <v>12</v>
      </c>
      <c r="Z102" s="31">
        <f t="shared" si="33"/>
        <v>13</v>
      </c>
      <c r="AA102" s="31">
        <f t="shared" si="33"/>
        <v>14</v>
      </c>
      <c r="AB102" s="31">
        <f t="shared" si="33"/>
        <v>15</v>
      </c>
      <c r="AC102" s="109" t="s">
        <v>18</v>
      </c>
      <c r="AD102" s="36"/>
      <c r="AE102" s="36"/>
      <c r="AF102" s="423" t="s">
        <v>10</v>
      </c>
      <c r="AG102" s="89">
        <f>first_age</f>
        <v>4</v>
      </c>
      <c r="AH102" s="89">
        <f t="shared" ref="AH102:AR102" si="34">AG102+1</f>
        <v>5</v>
      </c>
      <c r="AI102" s="89">
        <f t="shared" si="34"/>
        <v>6</v>
      </c>
      <c r="AJ102" s="89">
        <f t="shared" si="34"/>
        <v>7</v>
      </c>
      <c r="AK102" s="89">
        <f t="shared" si="34"/>
        <v>8</v>
      </c>
      <c r="AL102" s="89">
        <f t="shared" si="34"/>
        <v>9</v>
      </c>
      <c r="AM102" s="89">
        <f t="shared" si="34"/>
        <v>10</v>
      </c>
      <c r="AN102" s="89">
        <f t="shared" si="34"/>
        <v>11</v>
      </c>
      <c r="AO102" s="89">
        <f t="shared" si="34"/>
        <v>12</v>
      </c>
      <c r="AP102" s="89">
        <f t="shared" si="34"/>
        <v>13</v>
      </c>
      <c r="AQ102" s="89">
        <f t="shared" si="34"/>
        <v>14</v>
      </c>
      <c r="AR102" s="89">
        <f t="shared" si="34"/>
        <v>15</v>
      </c>
      <c r="AS102" s="89" t="s">
        <v>18</v>
      </c>
      <c r="AT102" s="105" t="s">
        <v>27</v>
      </c>
    </row>
    <row r="103" spans="1:46" ht="11.25" customHeight="1">
      <c r="A103" s="37">
        <f>first_year</f>
        <v>1978</v>
      </c>
      <c r="B103" s="558">
        <v>0.55649000000000004</v>
      </c>
      <c r="C103" s="131">
        <v>0.32601000000000002</v>
      </c>
      <c r="D103" s="131">
        <v>8.7099999999999997E-2</v>
      </c>
      <c r="E103" s="131">
        <v>5.8399999999999997E-3</v>
      </c>
      <c r="F103" s="131">
        <v>1.6920000000000001E-2</v>
      </c>
      <c r="G103" s="132">
        <v>7.6299999999999996E-3</v>
      </c>
      <c r="H103" s="133"/>
      <c r="I103" s="133"/>
      <c r="J103" s="133"/>
      <c r="K103" s="133"/>
      <c r="L103" s="133"/>
      <c r="M103" s="134"/>
      <c r="N103" s="135"/>
      <c r="O103" s="135"/>
      <c r="P103" s="37">
        <f>first_year</f>
        <v>1978</v>
      </c>
      <c r="Q103" s="99">
        <f>B274*B149/$AC103</f>
        <v>0.36427502490204933</v>
      </c>
      <c r="R103" s="100">
        <f>C274*C149/$AC103</f>
        <v>0.40089434224790499</v>
      </c>
      <c r="S103" s="100">
        <f>D274*D149/$AC103</f>
        <v>0.15979395486973638</v>
      </c>
      <c r="T103" s="100">
        <f>E274*E149/$AC103</f>
        <v>3.1413683728657607E-3</v>
      </c>
      <c r="U103" s="100">
        <f>F274*F149/$AC103</f>
        <v>2.9041356551067002E-2</v>
      </c>
      <c r="V103" s="101">
        <f>G274*G149/$AC103</f>
        <v>4.2853953056376515E-2</v>
      </c>
      <c r="W103" s="100"/>
      <c r="X103" s="100"/>
      <c r="Y103" s="100"/>
      <c r="Z103" s="100"/>
      <c r="AA103" s="100"/>
      <c r="AB103" s="667"/>
      <c r="AC103" s="136">
        <f>SUMPRODUCT($B274:$M274,$B149:$M149)</f>
        <v>224.0255835440158</v>
      </c>
      <c r="AD103" s="137"/>
      <c r="AE103" s="138"/>
      <c r="AF103" s="37">
        <f>first_year</f>
        <v>1978</v>
      </c>
      <c r="AG103" s="572"/>
      <c r="AH103" s="139"/>
      <c r="AI103" s="139"/>
      <c r="AJ103" s="139"/>
      <c r="AK103" s="139"/>
      <c r="AL103" s="139"/>
      <c r="AM103" s="139"/>
      <c r="AN103" s="368"/>
      <c r="AO103" s="368"/>
      <c r="AP103" s="368"/>
      <c r="AQ103" s="139"/>
      <c r="AR103" s="694"/>
      <c r="AS103" s="701"/>
      <c r="AT103" s="105"/>
    </row>
    <row r="104" spans="1:46" ht="11.25" customHeight="1">
      <c r="A104" s="482">
        <f t="shared" ref="A104:A120" si="35">+A103+1</f>
        <v>1979</v>
      </c>
      <c r="B104" s="559">
        <v>5.9959999999999999E-2</v>
      </c>
      <c r="C104" s="142">
        <v>0.54988000000000004</v>
      </c>
      <c r="D104" s="142">
        <v>0.27129999999999999</v>
      </c>
      <c r="E104" s="142">
        <v>0.10546999999999999</v>
      </c>
      <c r="F104" s="142">
        <v>3.8999999999999998E-3</v>
      </c>
      <c r="G104" s="143">
        <v>9.4999999999999998E-3</v>
      </c>
      <c r="H104" s="144"/>
      <c r="I104" s="144"/>
      <c r="J104" s="144"/>
      <c r="K104" s="144"/>
      <c r="L104" s="144"/>
      <c r="M104" s="145"/>
      <c r="N104" s="135"/>
      <c r="O104" s="135"/>
      <c r="P104" s="482">
        <f t="shared" ref="P104:P118" si="36">+P103+1</f>
        <v>1979</v>
      </c>
      <c r="Q104" s="106">
        <f>B275*B150/$AC104</f>
        <v>2.6176101275321471E-2</v>
      </c>
      <c r="R104" s="483">
        <f>C275*C150/$AC104</f>
        <v>0.39475125224342722</v>
      </c>
      <c r="S104" s="483">
        <f>D275*D150/$AC104</f>
        <v>0.39164397284585911</v>
      </c>
      <c r="T104" s="483">
        <f>E275*E150/$AC104</f>
        <v>0.13784499532207506</v>
      </c>
      <c r="U104" s="483">
        <f>F275*F150/$AC104</f>
        <v>3.139182942356052E-3</v>
      </c>
      <c r="V104" s="107">
        <f>G275*G150/$AC104</f>
        <v>4.6444495370961118E-2</v>
      </c>
      <c r="W104" s="483"/>
      <c r="X104" s="483"/>
      <c r="Y104" s="483"/>
      <c r="Z104" s="483"/>
      <c r="AA104" s="483"/>
      <c r="AB104" s="668"/>
      <c r="AC104" s="114">
        <f>SUMPRODUCT($B275:$M275,$B150:$M150)</f>
        <v>237.14940445979636</v>
      </c>
      <c r="AD104" s="137"/>
      <c r="AE104" s="138"/>
      <c r="AF104" s="482">
        <f t="shared" ref="AF104:AF122" si="37">+AF103+1</f>
        <v>1979</v>
      </c>
      <c r="AG104" s="573"/>
      <c r="AH104" s="140"/>
      <c r="AI104" s="140"/>
      <c r="AJ104" s="140"/>
      <c r="AK104" s="140"/>
      <c r="AL104" s="140"/>
      <c r="AM104" s="140"/>
      <c r="AN104" s="146"/>
      <c r="AO104" s="147"/>
      <c r="AP104" s="141"/>
      <c r="AQ104" s="148"/>
      <c r="AR104" s="695"/>
      <c r="AS104" s="600"/>
      <c r="AT104" s="109"/>
    </row>
    <row r="105" spans="1:46" ht="11.25" customHeight="1">
      <c r="A105" s="482">
        <f t="shared" si="35"/>
        <v>1980</v>
      </c>
      <c r="B105" s="560">
        <v>5.0638597204918936E-2</v>
      </c>
      <c r="C105" s="144">
        <v>8.674243387319586E-3</v>
      </c>
      <c r="D105" s="144">
        <v>0.41069809225971032</v>
      </c>
      <c r="E105" s="144">
        <v>0.38490842677107961</v>
      </c>
      <c r="F105" s="144">
        <v>0.12455399896604036</v>
      </c>
      <c r="G105" s="144">
        <v>5.4579508953920995E-3</v>
      </c>
      <c r="H105" s="149">
        <v>1.5068690515539057E-2</v>
      </c>
      <c r="I105" s="144"/>
      <c r="J105" s="144"/>
      <c r="K105" s="144"/>
      <c r="L105" s="144"/>
      <c r="M105" s="145"/>
      <c r="N105" s="135"/>
      <c r="O105" s="135"/>
      <c r="P105" s="482">
        <f t="shared" si="36"/>
        <v>1980</v>
      </c>
      <c r="Q105" s="106">
        <f>B276*B151/$AC105</f>
        <v>6.1147947278430717E-2</v>
      </c>
      <c r="R105" s="483">
        <f>C276*C151/$AC105</f>
        <v>2.6334200369328341E-2</v>
      </c>
      <c r="S105" s="483">
        <f>D276*D151/$AC105</f>
        <v>0.37926518840313755</v>
      </c>
      <c r="T105" s="483">
        <f>E276*E151/$AC105</f>
        <v>0.35032738993669477</v>
      </c>
      <c r="U105" s="483">
        <f>F276*F151/$AC105</f>
        <v>0.14954579908090407</v>
      </c>
      <c r="V105" s="483">
        <f>G276*G151/$AC105</f>
        <v>1.865269283046121E-3</v>
      </c>
      <c r="W105" s="107">
        <f>H276*H151/$AC105</f>
        <v>3.1514205648458443E-2</v>
      </c>
      <c r="X105" s="483"/>
      <c r="Y105" s="483"/>
      <c r="Z105" s="483"/>
      <c r="AA105" s="483"/>
      <c r="AB105" s="668"/>
      <c r="AC105" s="114">
        <f>SUMPRODUCT($B276:$M276,$B151:$M151)</f>
        <v>250.27004686737303</v>
      </c>
      <c r="AD105" s="137"/>
      <c r="AE105" s="138"/>
      <c r="AF105" s="482">
        <f t="shared" si="37"/>
        <v>1980</v>
      </c>
      <c r="AG105" s="574">
        <f t="shared" ref="AG105:AG120" si="38">B105-Q105</f>
        <v>-1.0509350073511781E-2</v>
      </c>
      <c r="AH105" s="153">
        <f t="shared" ref="AH105:AH120" si="39">C105-R105</f>
        <v>-1.7659956982008757E-2</v>
      </c>
      <c r="AI105" s="153">
        <f t="shared" ref="AI105:AI120" si="40">D105-S105</f>
        <v>3.1432903856572769E-2</v>
      </c>
      <c r="AJ105" s="153">
        <f t="shared" ref="AJ105:AJ120" si="41">E105-T105</f>
        <v>3.4581036834384848E-2</v>
      </c>
      <c r="AK105" s="153">
        <f t="shared" ref="AK105:AK120" si="42">F105-U105</f>
        <v>-2.499180011486371E-2</v>
      </c>
      <c r="AL105" s="153">
        <f t="shared" ref="AL105:AL120" si="43">G105-V105</f>
        <v>3.5926816123459785E-3</v>
      </c>
      <c r="AM105" s="150">
        <f t="shared" ref="AM105:AM120" si="44">H105-W105</f>
        <v>-1.6445515132919385E-2</v>
      </c>
      <c r="AN105" s="151"/>
      <c r="AO105" s="152"/>
      <c r="AP105" s="153"/>
      <c r="AQ105" s="484"/>
      <c r="AR105" s="696"/>
      <c r="AS105" s="600">
        <f t="shared" ref="AS105:AS133" si="45">SUMSQ(AG105:AR105)</f>
        <v>3.5141484751077226E-3</v>
      </c>
      <c r="AT105" s="109">
        <v>1</v>
      </c>
    </row>
    <row r="106" spans="1:46" ht="11.25" customHeight="1">
      <c r="A106" s="482">
        <f t="shared" si="35"/>
        <v>1981</v>
      </c>
      <c r="B106" s="560">
        <v>0.61855895507844993</v>
      </c>
      <c r="C106" s="144">
        <v>7.1188766206091256E-2</v>
      </c>
      <c r="D106" s="144">
        <v>1.1621330012500654E-2</v>
      </c>
      <c r="E106" s="144">
        <v>0.16727110257665562</v>
      </c>
      <c r="F106" s="144">
        <v>9.4409245096781044E-2</v>
      </c>
      <c r="G106" s="144">
        <v>3.3781867556447027E-2</v>
      </c>
      <c r="H106" s="144">
        <v>5.497752575784222E-4</v>
      </c>
      <c r="I106" s="149">
        <v>2.6189582154960574E-3</v>
      </c>
      <c r="J106" s="144"/>
      <c r="K106" s="144"/>
      <c r="L106" s="144"/>
      <c r="M106" s="145"/>
      <c r="N106" s="135"/>
      <c r="O106" s="135"/>
      <c r="P106" s="482">
        <f t="shared" si="36"/>
        <v>1981</v>
      </c>
      <c r="Q106" s="106">
        <f>B277*B152/$AC106</f>
        <v>0.52873115622162092</v>
      </c>
      <c r="R106" s="483">
        <f>C277*C152/$AC106</f>
        <v>3.5827680346173139E-2</v>
      </c>
      <c r="S106" s="483">
        <f>D277*D152/$AC106</f>
        <v>1.3796485827229353E-2</v>
      </c>
      <c r="T106" s="483">
        <f>E277*E152/$AC106</f>
        <v>0.16935364206887427</v>
      </c>
      <c r="U106" s="483">
        <f>F277*F152/$AC106</f>
        <v>0.18871541335878747</v>
      </c>
      <c r="V106" s="483">
        <f>G277*G152/$AC106</f>
        <v>5.3098562496320605E-2</v>
      </c>
      <c r="W106" s="483">
        <f>H277*H152/$AC106</f>
        <v>5.4464768684372468E-4</v>
      </c>
      <c r="X106" s="107">
        <f>I277*I152/$AC106</f>
        <v>9.9324119941504307E-3</v>
      </c>
      <c r="Y106" s="483"/>
      <c r="Z106" s="483"/>
      <c r="AA106" s="483"/>
      <c r="AB106" s="668"/>
      <c r="AC106" s="114">
        <f>SUMPRODUCT($B277:$M277,$B152:$M152)</f>
        <v>488.87252445296292</v>
      </c>
      <c r="AD106" s="137"/>
      <c r="AE106" s="138"/>
      <c r="AF106" s="482">
        <f t="shared" si="37"/>
        <v>1981</v>
      </c>
      <c r="AG106" s="574">
        <f t="shared" si="38"/>
        <v>8.9827798856829011E-2</v>
      </c>
      <c r="AH106" s="153">
        <f t="shared" si="39"/>
        <v>3.5361085859918116E-2</v>
      </c>
      <c r="AI106" s="153">
        <f t="shared" si="40"/>
        <v>-2.1751558147286992E-3</v>
      </c>
      <c r="AJ106" s="153">
        <f t="shared" si="41"/>
        <v>-2.0825394922186491E-3</v>
      </c>
      <c r="AK106" s="153">
        <f t="shared" si="42"/>
        <v>-9.4306168262006426E-2</v>
      </c>
      <c r="AL106" s="153">
        <f t="shared" si="43"/>
        <v>-1.9316694939873577E-2</v>
      </c>
      <c r="AM106" s="153">
        <f t="shared" si="44"/>
        <v>5.1275707346975195E-6</v>
      </c>
      <c r="AN106" s="150">
        <f t="shared" ref="AN106:AN120" si="46">I106-X106</f>
        <v>-7.3134537786543729E-3</v>
      </c>
      <c r="AO106" s="152"/>
      <c r="AP106" s="153"/>
      <c r="AQ106" s="484"/>
      <c r="AR106" s="696"/>
      <c r="AS106" s="600">
        <f t="shared" si="45"/>
        <v>1.8648782822336934E-2</v>
      </c>
      <c r="AT106" s="109">
        <v>1</v>
      </c>
    </row>
    <row r="107" spans="1:46" ht="11.25" customHeight="1">
      <c r="A107" s="53">
        <f t="shared" si="35"/>
        <v>1982</v>
      </c>
      <c r="B107" s="560">
        <v>0.21626444404478215</v>
      </c>
      <c r="C107" s="144">
        <v>0.55225428263117671</v>
      </c>
      <c r="D107" s="144">
        <v>3.0520772447282046E-2</v>
      </c>
      <c r="E107" s="144">
        <v>8.7956926397194379E-3</v>
      </c>
      <c r="F107" s="144">
        <v>0.11906220493682838</v>
      </c>
      <c r="G107" s="144">
        <v>6.0046760487388155E-2</v>
      </c>
      <c r="H107" s="144">
        <v>9.5544265095993883E-3</v>
      </c>
      <c r="I107" s="144">
        <v>1.9755181871318737E-3</v>
      </c>
      <c r="J107" s="149">
        <v>1.5258981160919023E-3</v>
      </c>
      <c r="K107" s="144"/>
      <c r="L107" s="144"/>
      <c r="M107" s="145"/>
      <c r="N107" s="135"/>
      <c r="O107" s="135"/>
      <c r="P107" s="53">
        <f t="shared" si="36"/>
        <v>1982</v>
      </c>
      <c r="Q107" s="106">
        <f>B278*B153/$AC107</f>
        <v>0.30075616357477564</v>
      </c>
      <c r="R107" s="483">
        <f>C278*C153/$AC107</f>
        <v>0.40657241094534846</v>
      </c>
      <c r="S107" s="483">
        <f>D278*D153/$AC107</f>
        <v>2.4918963908492561E-2</v>
      </c>
      <c r="T107" s="483">
        <f>E278*E153/$AC107</f>
        <v>8.8325302352956856E-3</v>
      </c>
      <c r="U107" s="483">
        <f>F278*F153/$AC107</f>
        <v>0.13186310649965993</v>
      </c>
      <c r="V107" s="483">
        <f>G278*G153/$AC107</f>
        <v>9.6984055543776482E-2</v>
      </c>
      <c r="W107" s="483">
        <f>H278*H153/$AC107</f>
        <v>2.5635766585976501E-2</v>
      </c>
      <c r="X107" s="483">
        <f>I278*I153/$AC107</f>
        <v>2.4044588755356617E-4</v>
      </c>
      <c r="Y107" s="107">
        <f>J278*J153/$AC107</f>
        <v>4.1965568191209644E-3</v>
      </c>
      <c r="Z107" s="483"/>
      <c r="AA107" s="483"/>
      <c r="AB107" s="668"/>
      <c r="AC107" s="114">
        <f>SUMPRODUCT($B278:$M278,$B153:$M153)</f>
        <v>733.45696407238768</v>
      </c>
      <c r="AD107" s="137"/>
      <c r="AE107" s="138"/>
      <c r="AF107" s="53">
        <f t="shared" si="37"/>
        <v>1982</v>
      </c>
      <c r="AG107" s="574">
        <f t="shared" si="38"/>
        <v>-8.4491719529993486E-2</v>
      </c>
      <c r="AH107" s="153">
        <f t="shared" si="39"/>
        <v>0.14568187168582825</v>
      </c>
      <c r="AI107" s="153">
        <f t="shared" si="40"/>
        <v>5.601808538789485E-3</v>
      </c>
      <c r="AJ107" s="153">
        <f t="shared" si="41"/>
        <v>-3.6837595576247675E-5</v>
      </c>
      <c r="AK107" s="153">
        <f t="shared" si="42"/>
        <v>-1.2800901562831549E-2</v>
      </c>
      <c r="AL107" s="153">
        <f t="shared" si="43"/>
        <v>-3.6937295056388326E-2</v>
      </c>
      <c r="AM107" s="153">
        <f t="shared" si="44"/>
        <v>-1.6081340076377112E-2</v>
      </c>
      <c r="AN107" s="150">
        <f t="shared" si="46"/>
        <v>1.7350722995783075E-3</v>
      </c>
      <c r="AO107" s="150">
        <f t="shared" ref="AO107:AO120" si="47">J107-Y107</f>
        <v>-2.6706587030290623E-3</v>
      </c>
      <c r="AP107" s="153"/>
      <c r="AQ107" s="154"/>
      <c r="AR107" s="696"/>
      <c r="AS107" s="600">
        <f t="shared" si="45"/>
        <v>3.0190419262283826E-2</v>
      </c>
      <c r="AT107" s="109">
        <v>1</v>
      </c>
    </row>
    <row r="108" spans="1:46" ht="11.25" customHeight="1">
      <c r="A108" s="53">
        <f t="shared" si="35"/>
        <v>1983</v>
      </c>
      <c r="B108" s="560">
        <v>7.0177275695120292E-2</v>
      </c>
      <c r="C108" s="144">
        <v>0.38822638069308762</v>
      </c>
      <c r="D108" s="144">
        <v>0.44052004155733226</v>
      </c>
      <c r="E108" s="144">
        <v>1.5873504736796717E-2</v>
      </c>
      <c r="F108" s="144">
        <v>1.6569548987963978E-2</v>
      </c>
      <c r="G108" s="144">
        <v>4.9532069366250681E-2</v>
      </c>
      <c r="H108" s="144">
        <v>1.5625064163371234E-2</v>
      </c>
      <c r="I108" s="144">
        <v>2.5316299754844589E-3</v>
      </c>
      <c r="J108" s="144">
        <v>9.0957995064040178E-4</v>
      </c>
      <c r="K108" s="149">
        <v>3.4904873952340472E-5</v>
      </c>
      <c r="L108" s="144"/>
      <c r="M108" s="145"/>
      <c r="N108" s="135"/>
      <c r="O108" s="135"/>
      <c r="P108" s="53">
        <f t="shared" si="36"/>
        <v>1983</v>
      </c>
      <c r="Q108" s="106">
        <f>B279*B154/$AC108</f>
        <v>0.10368251376345852</v>
      </c>
      <c r="R108" s="483">
        <f>C279*C154/$AC108</f>
        <v>0.31168822542535896</v>
      </c>
      <c r="S108" s="483">
        <f>D279*D154/$AC108</f>
        <v>0.38160604812877746</v>
      </c>
      <c r="T108" s="483">
        <f>E279*E154/$AC108</f>
        <v>2.1191179078084724E-2</v>
      </c>
      <c r="U108" s="483">
        <f>F279*F154/$AC108</f>
        <v>9.4383930777885809E-3</v>
      </c>
      <c r="V108" s="483">
        <f>G279*G154/$AC108</f>
        <v>9.1376253909755845E-2</v>
      </c>
      <c r="W108" s="483">
        <f>H279*H154/$AC108</f>
        <v>6.3259559598434323E-2</v>
      </c>
      <c r="X108" s="483">
        <f>I279*I154/$AC108</f>
        <v>1.5606978290013852E-2</v>
      </c>
      <c r="Y108" s="483">
        <f>J279*J154/$AC108</f>
        <v>1.383324720631969E-4</v>
      </c>
      <c r="Z108" s="107">
        <f>K279*K154/$AC108</f>
        <v>2.0125162562646126E-3</v>
      </c>
      <c r="AA108" s="483"/>
      <c r="AB108" s="668"/>
      <c r="AC108" s="114">
        <f>SUMPRODUCT($B279:$M279,$B154:$M154)</f>
        <v>815.67758717812649</v>
      </c>
      <c r="AD108" s="137"/>
      <c r="AE108" s="138"/>
      <c r="AF108" s="53">
        <f t="shared" si="37"/>
        <v>1983</v>
      </c>
      <c r="AG108" s="574">
        <f t="shared" si="38"/>
        <v>-3.3505238068338231E-2</v>
      </c>
      <c r="AH108" s="153">
        <f t="shared" si="39"/>
        <v>7.6538155267728669E-2</v>
      </c>
      <c r="AI108" s="153">
        <f t="shared" si="40"/>
        <v>5.8913993428554801E-2</v>
      </c>
      <c r="AJ108" s="153">
        <f t="shared" si="41"/>
        <v>-5.3176743412880062E-3</v>
      </c>
      <c r="AK108" s="153">
        <f t="shared" si="42"/>
        <v>7.131155910175397E-3</v>
      </c>
      <c r="AL108" s="153">
        <f t="shared" si="43"/>
        <v>-4.1844184543505164E-2</v>
      </c>
      <c r="AM108" s="153">
        <f t="shared" si="44"/>
        <v>-4.7634495435063089E-2</v>
      </c>
      <c r="AN108" s="150">
        <f t="shared" si="46"/>
        <v>-1.3075348314529393E-2</v>
      </c>
      <c r="AO108" s="150">
        <f t="shared" si="47"/>
        <v>7.7124747857720485E-4</v>
      </c>
      <c r="AP108" s="150">
        <f t="shared" ref="AP108:AP120" si="48">K108-Z108</f>
        <v>-1.9776113823122723E-3</v>
      </c>
      <c r="AQ108" s="154"/>
      <c r="AR108" s="696"/>
      <c r="AS108" s="600">
        <f t="shared" si="45"/>
        <v>1.4726131294980878E-2</v>
      </c>
      <c r="AT108" s="109">
        <v>1</v>
      </c>
    </row>
    <row r="109" spans="1:46" ht="11.25" customHeight="1">
      <c r="A109" s="53">
        <f t="shared" si="35"/>
        <v>1984</v>
      </c>
      <c r="B109" s="560">
        <v>5.2196164526963169E-3</v>
      </c>
      <c r="C109" s="144">
        <v>3.8700766222248072E-2</v>
      </c>
      <c r="D109" s="144">
        <v>0.33761177103476353</v>
      </c>
      <c r="E109" s="144">
        <v>0.41498713270038817</v>
      </c>
      <c r="F109" s="144">
        <v>3.7345701449570362E-2</v>
      </c>
      <c r="G109" s="144">
        <v>0.11257796711205455</v>
      </c>
      <c r="H109" s="144">
        <v>5.149536922607191E-2</v>
      </c>
      <c r="I109" s="144">
        <v>2.0384128876546619E-3</v>
      </c>
      <c r="J109" s="144">
        <v>2.3262914552406986E-5</v>
      </c>
      <c r="K109" s="144">
        <v>0</v>
      </c>
      <c r="L109" s="149">
        <v>0</v>
      </c>
      <c r="M109" s="145"/>
      <c r="N109" s="672" t="s">
        <v>28</v>
      </c>
      <c r="O109" s="135"/>
      <c r="P109" s="53">
        <f t="shared" si="36"/>
        <v>1984</v>
      </c>
      <c r="Q109" s="106">
        <f>B280*B155/$AC109</f>
        <v>2.5046644135897342E-2</v>
      </c>
      <c r="R109" s="483">
        <f>C280*C155/$AC109</f>
        <v>0.12079071779459971</v>
      </c>
      <c r="S109" s="483">
        <f>D280*D155/$AC109</f>
        <v>0.33172289467032084</v>
      </c>
      <c r="T109" s="483">
        <f>E280*E155/$AC109</f>
        <v>0.37011360825873851</v>
      </c>
      <c r="U109" s="483">
        <f>F280*F155/$AC109</f>
        <v>2.4971767302548013E-2</v>
      </c>
      <c r="V109" s="483">
        <f>G280*G155/$AC109</f>
        <v>7.1288352491766819E-3</v>
      </c>
      <c r="W109" s="483">
        <f>H280*H155/$AC109</f>
        <v>6.5739491970189162E-2</v>
      </c>
      <c r="X109" s="483">
        <f>I280*I155/$AC109</f>
        <v>4.3325030494665961E-2</v>
      </c>
      <c r="Y109" s="483">
        <f>J280*J155/$AC109</f>
        <v>9.9808704318753768E-3</v>
      </c>
      <c r="Z109" s="483">
        <f>K280*K155/$AC109</f>
        <v>8.2648805976090066E-5</v>
      </c>
      <c r="AA109" s="107">
        <f>L280*L155/$AC109</f>
        <v>1.0974908860123679E-3</v>
      </c>
      <c r="AB109" s="668"/>
      <c r="AC109" s="114">
        <f>SUMPRODUCT($B280:$M280,$B155:$M155)</f>
        <v>814.20484154464168</v>
      </c>
      <c r="AD109" s="571" t="s">
        <v>28</v>
      </c>
      <c r="AE109" s="138" t="s">
        <v>35</v>
      </c>
      <c r="AF109" s="53">
        <f t="shared" si="37"/>
        <v>1984</v>
      </c>
      <c r="AG109" s="574">
        <f t="shared" si="38"/>
        <v>-1.9827027683201024E-2</v>
      </c>
      <c r="AH109" s="151">
        <f t="shared" si="39"/>
        <v>-8.2089951572351633E-2</v>
      </c>
      <c r="AI109" s="151">
        <f t="shared" si="40"/>
        <v>5.8888763644426856E-3</v>
      </c>
      <c r="AJ109" s="153">
        <f t="shared" si="41"/>
        <v>4.4873524441649659E-2</v>
      </c>
      <c r="AK109" s="153">
        <f t="shared" si="42"/>
        <v>1.2373934147022349E-2</v>
      </c>
      <c r="AL109" s="153">
        <f t="shared" si="43"/>
        <v>0.10544913186287787</v>
      </c>
      <c r="AM109" s="153">
        <f t="shared" si="44"/>
        <v>-1.4244122744117252E-2</v>
      </c>
      <c r="AN109" s="150">
        <f t="shared" si="46"/>
        <v>-4.12866176070113E-2</v>
      </c>
      <c r="AO109" s="150">
        <f t="shared" si="47"/>
        <v>-9.9576075173229694E-3</v>
      </c>
      <c r="AP109" s="150">
        <f t="shared" si="48"/>
        <v>-8.2648805976090066E-5</v>
      </c>
      <c r="AQ109" s="150">
        <f t="shared" ref="AQ109:AQ120" si="49">L109-AA109</f>
        <v>-1.0974908860123679E-3</v>
      </c>
      <c r="AR109" s="696"/>
      <c r="AS109" s="600">
        <f t="shared" si="45"/>
        <v>2.2460661984178034E-2</v>
      </c>
      <c r="AT109" s="109">
        <v>1</v>
      </c>
    </row>
    <row r="110" spans="1:46" ht="11.25" customHeight="1">
      <c r="A110" s="53">
        <f t="shared" si="35"/>
        <v>1985</v>
      </c>
      <c r="B110" s="560">
        <v>3.0564065015263188E-2</v>
      </c>
      <c r="C110" s="144">
        <v>2.3890794170377032E-2</v>
      </c>
      <c r="D110" s="144">
        <v>9.7716713057429433E-2</v>
      </c>
      <c r="E110" s="144">
        <v>0.35920986750367445</v>
      </c>
      <c r="F110" s="144">
        <v>0.38539417791440772</v>
      </c>
      <c r="G110" s="144">
        <v>5.7615173817304743E-2</v>
      </c>
      <c r="H110" s="144">
        <v>3.2141530410625549E-2</v>
      </c>
      <c r="I110" s="144">
        <v>1.1583333781986746E-2</v>
      </c>
      <c r="J110" s="144">
        <v>1.8789604879913427E-3</v>
      </c>
      <c r="K110" s="144">
        <v>5.3838409398032748E-6</v>
      </c>
      <c r="L110" s="144">
        <v>0</v>
      </c>
      <c r="M110" s="673">
        <v>0</v>
      </c>
      <c r="N110" s="155">
        <f t="shared" ref="N110:N126" si="50">SUM(G110:M110)</f>
        <v>0.10322438233884818</v>
      </c>
      <c r="O110" s="135"/>
      <c r="P110" s="53">
        <f t="shared" si="36"/>
        <v>1985</v>
      </c>
      <c r="Q110" s="106">
        <f>B281*B156/$AC110</f>
        <v>5.6885796724746668E-2</v>
      </c>
      <c r="R110" s="483">
        <f>C281*C156/$AC110</f>
        <v>2.6322646967986738E-2</v>
      </c>
      <c r="S110" s="483">
        <f>D281*D156/$AC110</f>
        <v>0.11781648861023319</v>
      </c>
      <c r="T110" s="483">
        <f>E281*E156/$AC110</f>
        <v>0.29775597391857611</v>
      </c>
      <c r="U110" s="483">
        <f>F281*F156/$AC110</f>
        <v>0.40545829118625942</v>
      </c>
      <c r="V110" s="483">
        <f>G281*G156/$AC110</f>
        <v>1.7560825567841862E-2</v>
      </c>
      <c r="W110" s="483">
        <f>H281*H156/$AC110</f>
        <v>4.0989503762627584E-3</v>
      </c>
      <c r="X110" s="483">
        <f>I281*I156/$AC110</f>
        <v>4.1973633467047439E-2</v>
      </c>
      <c r="Y110" s="483">
        <f>J281*J156/$AC110</f>
        <v>2.600259662376371E-2</v>
      </c>
      <c r="Z110" s="483">
        <f>K281*K156/$AC110</f>
        <v>5.5638950299430629E-3</v>
      </c>
      <c r="AA110" s="483">
        <f>L281*L156/$AC110</f>
        <v>4.2577086757882951E-5</v>
      </c>
      <c r="AB110" s="669">
        <f>M281*M156/$AC110</f>
        <v>5.1832444058107577E-4</v>
      </c>
      <c r="AC110" s="114">
        <f>SUMPRODUCT($B281:$M281,$B156:$M156)</f>
        <v>904.43303335969529</v>
      </c>
      <c r="AD110" s="155">
        <f t="shared" ref="AD110:AD140" si="51">SUM(V110:AB110)</f>
        <v>9.5760802592197783E-2</v>
      </c>
      <c r="AE110" s="691">
        <f t="shared" ref="AE110:AE135" si="52">N110-AD110</f>
        <v>7.4635797466503923E-3</v>
      </c>
      <c r="AF110" s="53">
        <f t="shared" si="37"/>
        <v>1985</v>
      </c>
      <c r="AG110" s="574">
        <f t="shared" si="38"/>
        <v>-2.632173170948348E-2</v>
      </c>
      <c r="AH110" s="153">
        <f t="shared" si="39"/>
        <v>-2.4318527976097057E-3</v>
      </c>
      <c r="AI110" s="151">
        <f t="shared" si="40"/>
        <v>-2.0099775552803761E-2</v>
      </c>
      <c r="AJ110" s="153">
        <f t="shared" si="41"/>
        <v>6.145389358509834E-2</v>
      </c>
      <c r="AK110" s="153">
        <f t="shared" si="42"/>
        <v>-2.0064113271851702E-2</v>
      </c>
      <c r="AL110" s="153">
        <f t="shared" si="43"/>
        <v>4.0054348249462884E-2</v>
      </c>
      <c r="AM110" s="153">
        <f t="shared" si="44"/>
        <v>2.8042580034362791E-2</v>
      </c>
      <c r="AN110" s="153">
        <f t="shared" si="46"/>
        <v>-3.0390299685060691E-2</v>
      </c>
      <c r="AO110" s="153">
        <f t="shared" si="47"/>
        <v>-2.4123636135772366E-2</v>
      </c>
      <c r="AP110" s="153">
        <f t="shared" si="48"/>
        <v>-5.5585111890032596E-3</v>
      </c>
      <c r="AQ110" s="153">
        <f t="shared" si="49"/>
        <v>-4.2577086757882951E-5</v>
      </c>
      <c r="AR110" s="697">
        <f t="shared" ref="AR110:AR120" si="53">M110-AB110</f>
        <v>-5.1832444058107577E-4</v>
      </c>
      <c r="AS110" s="600">
        <f t="shared" si="45"/>
        <v>9.2093228873467749E-3</v>
      </c>
      <c r="AT110" s="109">
        <v>1</v>
      </c>
    </row>
    <row r="111" spans="1:46" ht="11.25" customHeight="1">
      <c r="A111" s="482">
        <f t="shared" si="35"/>
        <v>1986</v>
      </c>
      <c r="B111" s="560">
        <v>0</v>
      </c>
      <c r="C111" s="144">
        <v>2.006741213184032E-2</v>
      </c>
      <c r="D111" s="144">
        <v>2.9784757671742757E-2</v>
      </c>
      <c r="E111" s="144">
        <v>0.17449821705456633</v>
      </c>
      <c r="F111" s="144">
        <v>0.44611520991106757</v>
      </c>
      <c r="G111" s="144">
        <v>0.26634431742287246</v>
      </c>
      <c r="H111" s="144">
        <v>4.5153630139393913E-2</v>
      </c>
      <c r="I111" s="144">
        <v>1.303327253482895E-2</v>
      </c>
      <c r="J111" s="144">
        <v>4.6399543815932856E-3</v>
      </c>
      <c r="K111" s="144">
        <v>3.6322875209442385E-4</v>
      </c>
      <c r="L111" s="144">
        <v>0</v>
      </c>
      <c r="M111" s="673">
        <v>0</v>
      </c>
      <c r="N111" s="485">
        <f t="shared" si="50"/>
        <v>0.32953440323078298</v>
      </c>
      <c r="O111" s="135"/>
      <c r="P111" s="482">
        <f t="shared" si="36"/>
        <v>1986</v>
      </c>
      <c r="Q111" s="106">
        <f>B282*B157/$AC111</f>
        <v>1.5139730803027279E-2</v>
      </c>
      <c r="R111" s="483">
        <f>C282*C157/$AC111</f>
        <v>6.8607174421310729E-2</v>
      </c>
      <c r="S111" s="483">
        <f>D282*D157/$AC111</f>
        <v>2.9428341937853198E-2</v>
      </c>
      <c r="T111" s="483">
        <f>E282*E157/$AC111</f>
        <v>0.12082040666435348</v>
      </c>
      <c r="U111" s="483">
        <f>F282*F157/$AC111</f>
        <v>0.37068589236139177</v>
      </c>
      <c r="V111" s="483">
        <f>G282*G157/$AC111</f>
        <v>0.33119773392402518</v>
      </c>
      <c r="W111" s="483">
        <f>H282*H157/$AC111</f>
        <v>1.3025411079571355E-2</v>
      </c>
      <c r="X111" s="483">
        <f>I282*I157/$AC111</f>
        <v>2.7269621667294426E-3</v>
      </c>
      <c r="Y111" s="483">
        <f>J282*J157/$AC111</f>
        <v>2.8430345629027718E-2</v>
      </c>
      <c r="Z111" s="483">
        <f>K282*K157/$AC111</f>
        <v>1.6419105544986361E-2</v>
      </c>
      <c r="AA111" s="483">
        <f>L282*L157/$AC111</f>
        <v>3.2442164823594378E-3</v>
      </c>
      <c r="AB111" s="669">
        <f>M282*M157/$AC111</f>
        <v>2.7467898536392759E-4</v>
      </c>
      <c r="AC111" s="114">
        <f>SUMPRODUCT($B282:$M282,$B157:$M157)</f>
        <v>874.74649729851774</v>
      </c>
      <c r="AD111" s="485">
        <f t="shared" si="51"/>
        <v>0.39531845381206349</v>
      </c>
      <c r="AE111" s="692">
        <f t="shared" si="52"/>
        <v>-6.5784050581280507E-2</v>
      </c>
      <c r="AF111" s="482">
        <f t="shared" si="37"/>
        <v>1986</v>
      </c>
      <c r="AG111" s="574">
        <f t="shared" si="38"/>
        <v>-1.5139730803027279E-2</v>
      </c>
      <c r="AH111" s="153">
        <f t="shared" si="39"/>
        <v>-4.8539762289470406E-2</v>
      </c>
      <c r="AI111" s="153">
        <f t="shared" si="40"/>
        <v>3.5641573388955905E-4</v>
      </c>
      <c r="AJ111" s="153">
        <f t="shared" si="41"/>
        <v>5.3677810390212854E-2</v>
      </c>
      <c r="AK111" s="153">
        <f t="shared" si="42"/>
        <v>7.5429317549675801E-2</v>
      </c>
      <c r="AL111" s="153">
        <f t="shared" si="43"/>
        <v>-6.4853416501152727E-2</v>
      </c>
      <c r="AM111" s="153">
        <f t="shared" si="44"/>
        <v>3.2128219059822556E-2</v>
      </c>
      <c r="AN111" s="153">
        <f t="shared" si="46"/>
        <v>1.0306310368099508E-2</v>
      </c>
      <c r="AO111" s="153">
        <f t="shared" si="47"/>
        <v>-2.3790391247434432E-2</v>
      </c>
      <c r="AP111" s="153">
        <f t="shared" si="48"/>
        <v>-1.6055876792891936E-2</v>
      </c>
      <c r="AQ111" s="153">
        <f t="shared" si="49"/>
        <v>-3.2442164823594378E-3</v>
      </c>
      <c r="AR111" s="697">
        <f t="shared" si="53"/>
        <v>-2.7467898536392759E-4</v>
      </c>
      <c r="AS111" s="600">
        <f t="shared" si="45"/>
        <v>1.7335118688034737E-2</v>
      </c>
      <c r="AT111" s="109">
        <v>1</v>
      </c>
    </row>
    <row r="112" spans="1:46" ht="11.25" customHeight="1">
      <c r="A112" s="482">
        <f t="shared" si="35"/>
        <v>1987</v>
      </c>
      <c r="B112" s="560">
        <v>2.2445451819448608E-3</v>
      </c>
      <c r="C112" s="144">
        <v>4.1098548321662287E-3</v>
      </c>
      <c r="D112" s="144">
        <v>0.10363272361667225</v>
      </c>
      <c r="E112" s="144">
        <v>0.11413225618683083</v>
      </c>
      <c r="F112" s="144">
        <v>0.28996084172649178</v>
      </c>
      <c r="G112" s="144">
        <v>0.4018882401707442</v>
      </c>
      <c r="H112" s="144">
        <v>6.6763092445275438E-2</v>
      </c>
      <c r="I112" s="144">
        <v>1.1469669976893091E-2</v>
      </c>
      <c r="J112" s="144">
        <v>4.7669024394546063E-3</v>
      </c>
      <c r="K112" s="144">
        <v>1.0318734235267141E-3</v>
      </c>
      <c r="L112" s="144">
        <v>0</v>
      </c>
      <c r="M112" s="673">
        <v>0</v>
      </c>
      <c r="N112" s="485">
        <f t="shared" si="50"/>
        <v>0.48591977845589407</v>
      </c>
      <c r="O112" s="135"/>
      <c r="P112" s="482">
        <f t="shared" si="36"/>
        <v>1987</v>
      </c>
      <c r="Q112" s="106">
        <f>B283*B158/$AC112</f>
        <v>5.758196065632995E-2</v>
      </c>
      <c r="R112" s="483">
        <f>C283*C158/$AC112</f>
        <v>1.933736275344354E-2</v>
      </c>
      <c r="S112" s="483">
        <f>D283*D158/$AC112</f>
        <v>8.1755972661231788E-2</v>
      </c>
      <c r="T112" s="483">
        <f>E283*E158/$AC112</f>
        <v>3.2409750937562862E-2</v>
      </c>
      <c r="U112" s="483">
        <f>F283*F158/$AC112</f>
        <v>0.16235200673555711</v>
      </c>
      <c r="V112" s="483">
        <f>G283*G158/$AC112</f>
        <v>0.32672558253121869</v>
      </c>
      <c r="W112" s="483">
        <f>H283*H158/$AC112</f>
        <v>0.27610542291882734</v>
      </c>
      <c r="X112" s="483">
        <f>I283*I158/$AC112</f>
        <v>1.0048384554452528E-2</v>
      </c>
      <c r="Y112" s="483">
        <f>J283*J158/$AC112</f>
        <v>1.8838999334009963E-3</v>
      </c>
      <c r="Z112" s="483">
        <f>K283*K158/$AC112</f>
        <v>1.9423691672919796E-2</v>
      </c>
      <c r="AA112" s="483">
        <f>L283*L158/$AC112</f>
        <v>1.0355696384752188E-2</v>
      </c>
      <c r="AB112" s="669">
        <f>M283*M158/$AC112</f>
        <v>2.0202682603031774E-3</v>
      </c>
      <c r="AC112" s="114">
        <f>SUMPRODUCT($B283:$M283,$B158:$M158)</f>
        <v>801.37172367152516</v>
      </c>
      <c r="AD112" s="485">
        <f t="shared" si="51"/>
        <v>0.64656294625587485</v>
      </c>
      <c r="AE112" s="692">
        <f t="shared" si="52"/>
        <v>-0.16064316779998078</v>
      </c>
      <c r="AF112" s="482">
        <f t="shared" si="37"/>
        <v>1987</v>
      </c>
      <c r="AG112" s="574">
        <f t="shared" si="38"/>
        <v>-5.5337415474385088E-2</v>
      </c>
      <c r="AH112" s="153">
        <f t="shared" si="39"/>
        <v>-1.5227507921277313E-2</v>
      </c>
      <c r="AI112" s="153">
        <f t="shared" si="40"/>
        <v>2.1876750955440463E-2</v>
      </c>
      <c r="AJ112" s="153">
        <f t="shared" si="41"/>
        <v>8.1722505249267968E-2</v>
      </c>
      <c r="AK112" s="151">
        <f t="shared" si="42"/>
        <v>0.12760883499093467</v>
      </c>
      <c r="AL112" s="151">
        <f t="shared" si="43"/>
        <v>7.516265763952551E-2</v>
      </c>
      <c r="AM112" s="151">
        <f t="shared" si="44"/>
        <v>-0.20934233047355189</v>
      </c>
      <c r="AN112" s="151">
        <f t="shared" si="46"/>
        <v>1.421285422440563E-3</v>
      </c>
      <c r="AO112" s="153">
        <f t="shared" si="47"/>
        <v>2.88300250605361E-3</v>
      </c>
      <c r="AP112" s="153">
        <f t="shared" si="48"/>
        <v>-1.8391818249393083E-2</v>
      </c>
      <c r="AQ112" s="153">
        <f t="shared" si="49"/>
        <v>-1.0355696384752188E-2</v>
      </c>
      <c r="AR112" s="697">
        <f t="shared" si="53"/>
        <v>-2.0202682603031774E-3</v>
      </c>
      <c r="AS112" s="600">
        <f t="shared" si="45"/>
        <v>7.6668830510415606E-2</v>
      </c>
      <c r="AT112" s="109">
        <v>1</v>
      </c>
    </row>
    <row r="113" spans="1:46" ht="11.25" customHeight="1">
      <c r="A113" s="482">
        <f t="shared" si="35"/>
        <v>1988</v>
      </c>
      <c r="B113" s="560">
        <v>5.896886839070993E-2</v>
      </c>
      <c r="C113" s="144">
        <v>9.2280890814625802E-2</v>
      </c>
      <c r="D113" s="144">
        <v>1.7278587561315395E-2</v>
      </c>
      <c r="E113" s="144">
        <v>0.14663766894014055</v>
      </c>
      <c r="F113" s="144">
        <v>5.0551524474509266E-2</v>
      </c>
      <c r="G113" s="144">
        <v>0.16324063553040433</v>
      </c>
      <c r="H113" s="144">
        <v>0.29443115226877431</v>
      </c>
      <c r="I113" s="144">
        <v>0.1370310087691135</v>
      </c>
      <c r="J113" s="144">
        <v>2.2557923330978898E-2</v>
      </c>
      <c r="K113" s="144">
        <v>1.68318960102069E-2</v>
      </c>
      <c r="L113" s="144">
        <v>1.8984390922110951E-4</v>
      </c>
      <c r="M113" s="673">
        <v>0</v>
      </c>
      <c r="N113" s="485">
        <f t="shared" si="50"/>
        <v>0.63428245981869891</v>
      </c>
      <c r="O113" s="135"/>
      <c r="P113" s="482">
        <f t="shared" si="36"/>
        <v>1988</v>
      </c>
      <c r="Q113" s="106">
        <f>B284*B159/$AC113</f>
        <v>6.1367582558247313E-2</v>
      </c>
      <c r="R113" s="483">
        <f>C284*C159/$AC113</f>
        <v>7.7534830275642272E-2</v>
      </c>
      <c r="S113" s="483">
        <f>D284*D159/$AC113</f>
        <v>2.4301367241663284E-2</v>
      </c>
      <c r="T113" s="483">
        <f>E284*E159/$AC113</f>
        <v>9.5054817153844354E-2</v>
      </c>
      <c r="U113" s="483">
        <f>F284*F159/$AC113</f>
        <v>4.5701894565022161E-2</v>
      </c>
      <c r="V113" s="483">
        <f>G284*G159/$AC113</f>
        <v>0.15078902337038985</v>
      </c>
      <c r="W113" s="483">
        <f>H284*H159/$AC113</f>
        <v>0.28700424304183797</v>
      </c>
      <c r="X113" s="483">
        <f>I284*I159/$AC113</f>
        <v>0.22893586702018776</v>
      </c>
      <c r="Y113" s="483">
        <f>J284*J159/$AC113</f>
        <v>7.6527496685072057E-3</v>
      </c>
      <c r="Z113" s="483">
        <f>K284*K159/$AC113</f>
        <v>1.2865868029279324E-3</v>
      </c>
      <c r="AA113" s="483">
        <f>L284*L159/$AC113</f>
        <v>1.2930114988635642E-2</v>
      </c>
      <c r="AB113" s="669">
        <f>M284*M159/$AC113</f>
        <v>7.4409233130942887E-3</v>
      </c>
      <c r="AC113" s="114">
        <f>SUMPRODUCT($B284:$M284,$B159:$M159)</f>
        <v>696.5140853270467</v>
      </c>
      <c r="AD113" s="485">
        <f t="shared" si="51"/>
        <v>0.69603950820558058</v>
      </c>
      <c r="AE113" s="692">
        <f t="shared" si="52"/>
        <v>-6.1757048386881674E-2</v>
      </c>
      <c r="AF113" s="482">
        <f t="shared" si="37"/>
        <v>1988</v>
      </c>
      <c r="AG113" s="574">
        <f t="shared" si="38"/>
        <v>-2.398714167537383E-3</v>
      </c>
      <c r="AH113" s="153">
        <f t="shared" si="39"/>
        <v>1.474606053898353E-2</v>
      </c>
      <c r="AI113" s="153">
        <f t="shared" si="40"/>
        <v>-7.022779680347889E-3</v>
      </c>
      <c r="AJ113" s="153">
        <f t="shared" si="41"/>
        <v>5.1582851786296194E-2</v>
      </c>
      <c r="AK113" s="151">
        <f t="shared" si="42"/>
        <v>4.8496299094871048E-3</v>
      </c>
      <c r="AL113" s="151">
        <f t="shared" si="43"/>
        <v>1.2451612160014475E-2</v>
      </c>
      <c r="AM113" s="151">
        <f t="shared" si="44"/>
        <v>7.4269092269363401E-3</v>
      </c>
      <c r="AN113" s="151">
        <f t="shared" si="46"/>
        <v>-9.1904858251074251E-2</v>
      </c>
      <c r="AO113" s="153">
        <f t="shared" si="47"/>
        <v>1.4905173662471693E-2</v>
      </c>
      <c r="AP113" s="153">
        <f t="shared" si="48"/>
        <v>1.5545309207278969E-2</v>
      </c>
      <c r="AQ113" s="153">
        <f t="shared" si="49"/>
        <v>-1.2740271079414531E-2</v>
      </c>
      <c r="AR113" s="697">
        <f t="shared" si="53"/>
        <v>-7.4409233130942887E-3</v>
      </c>
      <c r="AS113" s="600">
        <f t="shared" si="45"/>
        <v>1.2295036357566904E-2</v>
      </c>
      <c r="AT113" s="109">
        <v>1</v>
      </c>
    </row>
    <row r="114" spans="1:46" ht="11.25" customHeight="1">
      <c r="A114" s="482">
        <f t="shared" si="35"/>
        <v>1989</v>
      </c>
      <c r="B114" s="560">
        <v>9.1303002166511914E-4</v>
      </c>
      <c r="C114" s="144">
        <v>9.6224079232435783E-2</v>
      </c>
      <c r="D114" s="144">
        <v>0.16884091612503868</v>
      </c>
      <c r="E114" s="144">
        <v>4.1283658310120708E-2</v>
      </c>
      <c r="F114" s="144">
        <v>0.14820489012689569</v>
      </c>
      <c r="G114" s="144">
        <v>4.9261064685855775E-2</v>
      </c>
      <c r="H114" s="144">
        <v>0.16013231197771588</v>
      </c>
      <c r="I114" s="144">
        <v>0.19523754255648407</v>
      </c>
      <c r="J114" s="144">
        <v>0.11956437635406995</v>
      </c>
      <c r="K114" s="144">
        <v>1.1022129371711544E-2</v>
      </c>
      <c r="L114" s="144">
        <v>6.7432683379758593E-3</v>
      </c>
      <c r="M114" s="673">
        <v>2.5727329000309503E-3</v>
      </c>
      <c r="N114" s="485">
        <f t="shared" si="50"/>
        <v>0.54453342618384404</v>
      </c>
      <c r="O114" s="135"/>
      <c r="P114" s="482">
        <f t="shared" si="36"/>
        <v>1989</v>
      </c>
      <c r="Q114" s="106">
        <f>B285*B160/$AC114</f>
        <v>2.3030823530901162E-2</v>
      </c>
      <c r="R114" s="483">
        <f>C285*C160/$AC114</f>
        <v>8.5353049827847666E-2</v>
      </c>
      <c r="S114" s="483">
        <f>D285*D160/$AC114</f>
        <v>0.10066374743082712</v>
      </c>
      <c r="T114" s="483">
        <f>E285*E160/$AC114</f>
        <v>2.9293091680246675E-2</v>
      </c>
      <c r="U114" s="483">
        <f>F285*F160/$AC114</f>
        <v>0.13931893882899224</v>
      </c>
      <c r="V114" s="483">
        <f>G285*G160/$AC114</f>
        <v>4.373480510172871E-2</v>
      </c>
      <c r="W114" s="483">
        <f>H285*H160/$AC114</f>
        <v>0.13547690481523539</v>
      </c>
      <c r="X114" s="483">
        <f>I285*I160/$AC114</f>
        <v>0.24204003164968999</v>
      </c>
      <c r="Y114" s="483">
        <f>J285*J160/$AC114</f>
        <v>0.18240033891187776</v>
      </c>
      <c r="Z114" s="483">
        <f>K285*K160/$AC114</f>
        <v>5.4302989554904889E-3</v>
      </c>
      <c r="AA114" s="483">
        <f>L285*L160/$AC114</f>
        <v>8.6040542256386374E-4</v>
      </c>
      <c r="AB114" s="669">
        <f>M285*M160/$AC114</f>
        <v>1.2397563844598933E-2</v>
      </c>
      <c r="AC114" s="114">
        <f>SUMPRODUCT($B285:$M285,$B160:$M160)</f>
        <v>586.11012302416157</v>
      </c>
      <c r="AD114" s="485">
        <f t="shared" si="51"/>
        <v>0.62234034870118515</v>
      </c>
      <c r="AE114" s="692">
        <f t="shared" si="52"/>
        <v>-7.7806922517341115E-2</v>
      </c>
      <c r="AF114" s="482">
        <f t="shared" si="37"/>
        <v>1989</v>
      </c>
      <c r="AG114" s="574">
        <f t="shared" si="38"/>
        <v>-2.2117793509236042E-2</v>
      </c>
      <c r="AH114" s="153">
        <f t="shared" si="39"/>
        <v>1.0871029404588117E-2</v>
      </c>
      <c r="AI114" s="153">
        <f t="shared" si="40"/>
        <v>6.817716869421156E-2</v>
      </c>
      <c r="AJ114" s="153">
        <f t="shared" si="41"/>
        <v>1.1990566629874033E-2</v>
      </c>
      <c r="AK114" s="151">
        <f t="shared" si="42"/>
        <v>8.8859512979034549E-3</v>
      </c>
      <c r="AL114" s="151">
        <f t="shared" si="43"/>
        <v>5.5262595841270648E-3</v>
      </c>
      <c r="AM114" s="151">
        <f t="shared" si="44"/>
        <v>2.4655407162480492E-2</v>
      </c>
      <c r="AN114" s="151">
        <f t="shared" si="46"/>
        <v>-4.6802489093205918E-2</v>
      </c>
      <c r="AO114" s="153">
        <f t="shared" si="47"/>
        <v>-6.2835962557807809E-2</v>
      </c>
      <c r="AP114" s="153">
        <f t="shared" si="48"/>
        <v>5.5918304162210549E-3</v>
      </c>
      <c r="AQ114" s="153">
        <f t="shared" si="49"/>
        <v>5.8828629154119953E-3</v>
      </c>
      <c r="AR114" s="697">
        <f t="shared" si="53"/>
        <v>-9.8248309445679825E-3</v>
      </c>
      <c r="AS114" s="600">
        <f t="shared" si="45"/>
        <v>1.2417899989565143E-2</v>
      </c>
      <c r="AT114" s="109">
        <v>1</v>
      </c>
    </row>
    <row r="115" spans="1:46" ht="11.25" customHeight="1">
      <c r="A115" s="482">
        <f t="shared" si="35"/>
        <v>1990</v>
      </c>
      <c r="B115" s="560">
        <v>1.8933649506897915E-3</v>
      </c>
      <c r="C115" s="144">
        <v>5.3216422643174235E-3</v>
      </c>
      <c r="D115" s="144">
        <v>8.9461493920092644E-2</v>
      </c>
      <c r="E115" s="144">
        <v>0.13213113850056526</v>
      </c>
      <c r="F115" s="144">
        <v>3.6828705618514535E-2</v>
      </c>
      <c r="G115" s="144">
        <v>0.17645058409389619</v>
      </c>
      <c r="H115" s="144">
        <v>6.5105100136947272E-2</v>
      </c>
      <c r="I115" s="144">
        <v>0.14819257175945075</v>
      </c>
      <c r="J115" s="144">
        <v>0.2336559406623101</v>
      </c>
      <c r="K115" s="144">
        <v>9.9461402009172709E-2</v>
      </c>
      <c r="L115" s="144">
        <v>8.1524985983584715E-3</v>
      </c>
      <c r="M115" s="673">
        <v>3.3455574856848741E-3</v>
      </c>
      <c r="N115" s="485">
        <f t="shared" si="50"/>
        <v>0.73436365474582033</v>
      </c>
      <c r="O115" s="135"/>
      <c r="P115" s="482">
        <f t="shared" si="36"/>
        <v>1990</v>
      </c>
      <c r="Q115" s="106">
        <f>B286*B161/$AC115</f>
        <v>7.3952908522053121E-2</v>
      </c>
      <c r="R115" s="483">
        <f>C286*C161/$AC115</f>
        <v>3.1923002846829432E-2</v>
      </c>
      <c r="S115" s="483">
        <f>D286*D161/$AC115</f>
        <v>0.11032538809329848</v>
      </c>
      <c r="T115" s="478">
        <f>E286*E161/$AC115</f>
        <v>0.12011800252683914</v>
      </c>
      <c r="U115" s="483">
        <f>F286*F161/$AC115</f>
        <v>4.2509946954088662E-2</v>
      </c>
      <c r="V115" s="483">
        <f>G286*G161/$AC115</f>
        <v>0.1321841773710371</v>
      </c>
      <c r="W115" s="483">
        <f>H286*H161/$AC115</f>
        <v>3.8947175131637909E-2</v>
      </c>
      <c r="X115" s="483">
        <f>I286*I161/$AC115</f>
        <v>0.11411293262666622</v>
      </c>
      <c r="Y115" s="483">
        <f>J286*J161/$AC115</f>
        <v>0.19087209562319252</v>
      </c>
      <c r="Z115" s="483">
        <f>K286*K161/$AC115</f>
        <v>0.13391288348562716</v>
      </c>
      <c r="AA115" s="483">
        <f>L286*L161/$AC115</f>
        <v>3.6573464080284922E-3</v>
      </c>
      <c r="AB115" s="669">
        <f>M286*M161/$AC115</f>
        <v>7.4841404107017298E-3</v>
      </c>
      <c r="AC115" s="114">
        <f>SUMPRODUCT($B286:$M286,$B161:$M161)</f>
        <v>494.68878680276049</v>
      </c>
      <c r="AD115" s="485">
        <f t="shared" si="51"/>
        <v>0.62117075105689123</v>
      </c>
      <c r="AE115" s="692">
        <f t="shared" si="52"/>
        <v>0.11319290368892909</v>
      </c>
      <c r="AF115" s="482">
        <f t="shared" si="37"/>
        <v>1990</v>
      </c>
      <c r="AG115" s="574">
        <f t="shared" si="38"/>
        <v>-7.2059543571363335E-2</v>
      </c>
      <c r="AH115" s="153">
        <f t="shared" si="39"/>
        <v>-2.6601360582512008E-2</v>
      </c>
      <c r="AI115" s="153">
        <f t="shared" si="40"/>
        <v>-2.0863894173205833E-2</v>
      </c>
      <c r="AJ115" s="153">
        <f t="shared" si="41"/>
        <v>1.2013135973726122E-2</v>
      </c>
      <c r="AK115" s="153">
        <f t="shared" si="42"/>
        <v>-5.6812413355741276E-3</v>
      </c>
      <c r="AL115" s="153">
        <f t="shared" si="43"/>
        <v>4.4266406722859086E-2</v>
      </c>
      <c r="AM115" s="153">
        <f t="shared" si="44"/>
        <v>2.6157925005309363E-2</v>
      </c>
      <c r="AN115" s="153">
        <f t="shared" si="46"/>
        <v>3.4079639132784528E-2</v>
      </c>
      <c r="AO115" s="153">
        <f t="shared" si="47"/>
        <v>4.2783845039117585E-2</v>
      </c>
      <c r="AP115" s="153">
        <f t="shared" si="48"/>
        <v>-3.4451481476454451E-2</v>
      </c>
      <c r="AQ115" s="153">
        <f t="shared" si="49"/>
        <v>4.4951521903299797E-3</v>
      </c>
      <c r="AR115" s="697">
        <f t="shared" si="53"/>
        <v>-4.1385829250168557E-3</v>
      </c>
      <c r="AS115" s="600">
        <f t="shared" si="45"/>
        <v>1.3371974065914007E-2</v>
      </c>
      <c r="AT115" s="109">
        <v>1</v>
      </c>
    </row>
    <row r="116" spans="1:46" ht="11.25" customHeight="1">
      <c r="A116" s="482">
        <f t="shared" si="35"/>
        <v>1991</v>
      </c>
      <c r="B116" s="560">
        <v>0.161</v>
      </c>
      <c r="C116" s="144">
        <v>1.4999999999999999E-2</v>
      </c>
      <c r="D116" s="144">
        <v>1.6E-2</v>
      </c>
      <c r="E116" s="144">
        <v>0.184</v>
      </c>
      <c r="F116" s="144">
        <v>0.182</v>
      </c>
      <c r="G116" s="144">
        <v>0.05</v>
      </c>
      <c r="H116" s="144">
        <v>0.10199999999999999</v>
      </c>
      <c r="I116" s="144">
        <v>4.7E-2</v>
      </c>
      <c r="J116" s="144">
        <v>0.09</v>
      </c>
      <c r="K116" s="144">
        <v>9.8000000000000004E-2</v>
      </c>
      <c r="L116" s="144">
        <v>4.8000000000000001E-2</v>
      </c>
      <c r="M116" s="673">
        <v>7.0000000000000001E-3</v>
      </c>
      <c r="N116" s="485">
        <f t="shared" si="50"/>
        <v>0.442</v>
      </c>
      <c r="O116" s="135"/>
      <c r="P116" s="482">
        <f t="shared" si="36"/>
        <v>1991</v>
      </c>
      <c r="Q116" s="106">
        <f>B287*B162/$AC116</f>
        <v>0.23338903260558647</v>
      </c>
      <c r="R116" s="483">
        <f>C287*C162/$AC116</f>
        <v>8.1619753737289039E-2</v>
      </c>
      <c r="S116" s="483">
        <f>D287*D162/$AC116</f>
        <v>3.2809048072804783E-2</v>
      </c>
      <c r="T116" s="483">
        <f>E287*E162/$AC116</f>
        <v>0.10465080265543618</v>
      </c>
      <c r="U116" s="483">
        <f>F287*F162/$AC116</f>
        <v>0.13869825269427705</v>
      </c>
      <c r="V116" s="483">
        <f>G287*G162/$AC116</f>
        <v>3.2089186370602776E-2</v>
      </c>
      <c r="W116" s="483">
        <f>H287*H162/$AC116</f>
        <v>9.34297353554841E-2</v>
      </c>
      <c r="X116" s="483">
        <f>I287*I162/$AC116</f>
        <v>2.575945834164527E-2</v>
      </c>
      <c r="Y116" s="483">
        <f>J287*J162/$AC116</f>
        <v>7.0636527544552768E-2</v>
      </c>
      <c r="Z116" s="483">
        <f>K287*K162/$AC116</f>
        <v>0.11017807866643738</v>
      </c>
      <c r="AA116" s="483">
        <f>L287*L162/$AC116</f>
        <v>7.1744663499341582E-2</v>
      </c>
      <c r="AB116" s="669">
        <f>M287*M162/$AC116</f>
        <v>4.9954604565427309E-3</v>
      </c>
      <c r="AC116" s="114">
        <f>SUMPRODUCT($B287:$M287,$B162:$M162)</f>
        <v>524.00826074414965</v>
      </c>
      <c r="AD116" s="485">
        <f t="shared" si="51"/>
        <v>0.40883311023460667</v>
      </c>
      <c r="AE116" s="692">
        <f t="shared" si="52"/>
        <v>3.3166889765393337E-2</v>
      </c>
      <c r="AF116" s="482">
        <f t="shared" si="37"/>
        <v>1991</v>
      </c>
      <c r="AG116" s="574">
        <f t="shared" si="38"/>
        <v>-7.2389032605586462E-2</v>
      </c>
      <c r="AH116" s="153">
        <f t="shared" si="39"/>
        <v>-6.6619753737289039E-2</v>
      </c>
      <c r="AI116" s="153">
        <f t="shared" si="40"/>
        <v>-1.6809048072804783E-2</v>
      </c>
      <c r="AJ116" s="153">
        <f t="shared" si="41"/>
        <v>7.9349197344563818E-2</v>
      </c>
      <c r="AK116" s="153">
        <f t="shared" si="42"/>
        <v>4.3301747305722949E-2</v>
      </c>
      <c r="AL116" s="153">
        <f t="shared" si="43"/>
        <v>1.7910813629397226E-2</v>
      </c>
      <c r="AM116" s="153">
        <f t="shared" si="44"/>
        <v>8.5702646445158931E-3</v>
      </c>
      <c r="AN116" s="153">
        <f t="shared" si="46"/>
        <v>2.124054165835473E-2</v>
      </c>
      <c r="AO116" s="153">
        <f t="shared" si="47"/>
        <v>1.9363472455447228E-2</v>
      </c>
      <c r="AP116" s="153">
        <f t="shared" si="48"/>
        <v>-1.2178078666437372E-2</v>
      </c>
      <c r="AQ116" s="153">
        <f t="shared" si="49"/>
        <v>-2.3744663499341581E-2</v>
      </c>
      <c r="AR116" s="697">
        <f t="shared" si="53"/>
        <v>2.0045395434572693E-3</v>
      </c>
      <c r="AS116" s="600">
        <f t="shared" si="45"/>
        <v>2.0068728345560172E-2</v>
      </c>
      <c r="AT116" s="109">
        <v>1</v>
      </c>
    </row>
    <row r="117" spans="1:46" ht="11.25" customHeight="1">
      <c r="A117" s="482">
        <f t="shared" si="35"/>
        <v>1992</v>
      </c>
      <c r="B117" s="560">
        <v>0.20100000000000001</v>
      </c>
      <c r="C117" s="144">
        <v>0.31</v>
      </c>
      <c r="D117" s="144">
        <v>8.0000000000000002E-3</v>
      </c>
      <c r="E117" s="144">
        <v>8.9999999999999993E-3</v>
      </c>
      <c r="F117" s="144">
        <v>0.124</v>
      </c>
      <c r="G117" s="144">
        <v>0.10199999999999999</v>
      </c>
      <c r="H117" s="144">
        <v>2.5999999999999999E-2</v>
      </c>
      <c r="I117" s="144">
        <v>5.3999999999999999E-2</v>
      </c>
      <c r="J117" s="144">
        <v>0.03</v>
      </c>
      <c r="K117" s="144">
        <v>5.2999999999999999E-2</v>
      </c>
      <c r="L117" s="144">
        <v>5.2999999999999999E-2</v>
      </c>
      <c r="M117" s="673">
        <v>0.03</v>
      </c>
      <c r="N117" s="485">
        <f t="shared" si="50"/>
        <v>0.34799999999999998</v>
      </c>
      <c r="O117" s="135"/>
      <c r="P117" s="482">
        <f t="shared" si="36"/>
        <v>1992</v>
      </c>
      <c r="Q117" s="106">
        <f>B288*B163/$AC117</f>
        <v>0.15811790821845703</v>
      </c>
      <c r="R117" s="483">
        <f>C288*C163/$AC117</f>
        <v>0.26265518232421742</v>
      </c>
      <c r="S117" s="483">
        <f>D288*D163/$AC117</f>
        <v>8.524973164576545E-2</v>
      </c>
      <c r="T117" s="483">
        <f>E288*E163/$AC117</f>
        <v>3.153099084072903E-2</v>
      </c>
      <c r="U117" s="483">
        <f>F288*F163/$AC117</f>
        <v>0.12147808823329061</v>
      </c>
      <c r="V117" s="483">
        <f>G288*G163/$AC117</f>
        <v>0.1041989552688827</v>
      </c>
      <c r="W117" s="483">
        <f>H288*H163/$AC117</f>
        <v>2.255730490421342E-2</v>
      </c>
      <c r="X117" s="483">
        <f>I288*I163/$AC117</f>
        <v>6.2026759239900822E-2</v>
      </c>
      <c r="Y117" s="483">
        <f>J288*J163/$AC117</f>
        <v>1.5535966043779059E-2</v>
      </c>
      <c r="Z117" s="483">
        <f>K288*K163/$AC117</f>
        <v>4.0327839080806838E-2</v>
      </c>
      <c r="AA117" s="483">
        <f>L288*L163/$AC117</f>
        <v>5.8624682235372753E-2</v>
      </c>
      <c r="AB117" s="669">
        <f>M288*M163/$AC117</f>
        <v>3.7696591964584726E-2</v>
      </c>
      <c r="AC117" s="114">
        <f>SUMPRODUCT($B288:$M288,$B163:$M163)</f>
        <v>542.99054958157194</v>
      </c>
      <c r="AD117" s="485">
        <f t="shared" si="51"/>
        <v>0.34096809873754036</v>
      </c>
      <c r="AE117" s="692">
        <f t="shared" si="52"/>
        <v>7.0319012624596167E-3</v>
      </c>
      <c r="AF117" s="482">
        <f t="shared" si="37"/>
        <v>1992</v>
      </c>
      <c r="AG117" s="575">
        <f t="shared" si="38"/>
        <v>4.288209178154298E-2</v>
      </c>
      <c r="AH117" s="151">
        <f t="shared" si="39"/>
        <v>4.734481767578258E-2</v>
      </c>
      <c r="AI117" s="151">
        <f t="shared" si="40"/>
        <v>-7.7249731645765457E-2</v>
      </c>
      <c r="AJ117" s="153">
        <f t="shared" si="41"/>
        <v>-2.2530990840729029E-2</v>
      </c>
      <c r="AK117" s="153">
        <f t="shared" si="42"/>
        <v>2.5219117667093921E-3</v>
      </c>
      <c r="AL117" s="153">
        <f t="shared" si="43"/>
        <v>-2.1989552688827102E-3</v>
      </c>
      <c r="AM117" s="153">
        <f t="shared" si="44"/>
        <v>3.4426950957865791E-3</v>
      </c>
      <c r="AN117" s="153">
        <f t="shared" si="46"/>
        <v>-8.0267592399008228E-3</v>
      </c>
      <c r="AO117" s="153">
        <f t="shared" si="47"/>
        <v>1.446403395622094E-2</v>
      </c>
      <c r="AP117" s="153">
        <f t="shared" si="48"/>
        <v>1.2672160919193161E-2</v>
      </c>
      <c r="AQ117" s="153">
        <f t="shared" si="49"/>
        <v>-5.6246822353727549E-3</v>
      </c>
      <c r="AR117" s="697">
        <f t="shared" si="53"/>
        <v>-7.6965919645847272E-3</v>
      </c>
      <c r="AS117" s="600">
        <f t="shared" si="45"/>
        <v>1.1103715119339932E-2</v>
      </c>
      <c r="AT117" s="109">
        <v>1</v>
      </c>
    </row>
    <row r="118" spans="1:46" ht="11.25" customHeight="1">
      <c r="A118" s="482">
        <f t="shared" si="35"/>
        <v>1993</v>
      </c>
      <c r="B118" s="559">
        <v>0.01</v>
      </c>
      <c r="C118" s="142">
        <v>0.10199999999999999</v>
      </c>
      <c r="D118" s="142">
        <v>0.316</v>
      </c>
      <c r="E118" s="142">
        <v>1.7999999999999999E-2</v>
      </c>
      <c r="F118" s="142">
        <v>1.2E-2</v>
      </c>
      <c r="G118" s="142">
        <v>0.13200000000000001</v>
      </c>
      <c r="H118" s="142">
        <v>0.14000000000000001</v>
      </c>
      <c r="I118" s="142">
        <v>3.3000000000000002E-2</v>
      </c>
      <c r="J118" s="142">
        <v>6.7000000000000004E-2</v>
      </c>
      <c r="K118" s="142">
        <v>3.1E-2</v>
      </c>
      <c r="L118" s="142">
        <f>0.034</f>
        <v>3.4000000000000002E-2</v>
      </c>
      <c r="M118" s="674">
        <f>0.072+0.023+0.008+0.001</f>
        <v>0.10400000000000001</v>
      </c>
      <c r="N118" s="485">
        <f t="shared" si="50"/>
        <v>0.54100000000000004</v>
      </c>
      <c r="O118" s="135"/>
      <c r="P118" s="482">
        <f t="shared" si="36"/>
        <v>1993</v>
      </c>
      <c r="Q118" s="106">
        <f>B289*B164/$AC118</f>
        <v>5.1860152437906655E-2</v>
      </c>
      <c r="R118" s="483">
        <f>C289*C164/$AC118</f>
        <v>0.18330106948609481</v>
      </c>
      <c r="S118" s="483">
        <f>D289*D164/$AC118</f>
        <v>0.34542735144853765</v>
      </c>
      <c r="T118" s="483">
        <f>E289*E164/$AC118</f>
        <v>0.1054791286607747</v>
      </c>
      <c r="U118" s="483">
        <f>F289*F164/$AC118</f>
        <v>3.5564694887204387E-2</v>
      </c>
      <c r="V118" s="483">
        <f>G289*G164/$AC118</f>
        <v>8.6149195241682325E-2</v>
      </c>
      <c r="W118" s="483">
        <f>H289*H164/$AC118</f>
        <v>6.8653499754992423E-2</v>
      </c>
      <c r="X118" s="483">
        <f>I289*I164/$AC118</f>
        <v>1.4352089265850758E-2</v>
      </c>
      <c r="Y118" s="483">
        <f>J289*J164/$AC118</f>
        <v>3.674882356483259E-2</v>
      </c>
      <c r="Z118" s="483">
        <f>K289*K164/$AC118</f>
        <v>8.1669116896957439E-3</v>
      </c>
      <c r="AA118" s="483">
        <f>L289*L164/$AC118</f>
        <v>2.0589413690200765E-2</v>
      </c>
      <c r="AB118" s="669">
        <f>M289*M164/$AC118</f>
        <v>4.3707669872227128E-2</v>
      </c>
      <c r="AC118" s="114">
        <f>SUMPRODUCT($B289:$M289,$B164:$M164)</f>
        <v>547.47271098897363</v>
      </c>
      <c r="AD118" s="485">
        <f t="shared" si="51"/>
        <v>0.27836760307948172</v>
      </c>
      <c r="AE118" s="692">
        <f t="shared" si="52"/>
        <v>0.26263239692051832</v>
      </c>
      <c r="AF118" s="482">
        <f t="shared" si="37"/>
        <v>1993</v>
      </c>
      <c r="AG118" s="575">
        <f t="shared" si="38"/>
        <v>-4.1860152437906653E-2</v>
      </c>
      <c r="AH118" s="151">
        <f t="shared" si="39"/>
        <v>-8.1301069486094821E-2</v>
      </c>
      <c r="AI118" s="151">
        <f t="shared" si="40"/>
        <v>-2.9427351448537642E-2</v>
      </c>
      <c r="AJ118" s="153">
        <f t="shared" si="41"/>
        <v>-8.7479128660774702E-2</v>
      </c>
      <c r="AK118" s="153">
        <f t="shared" si="42"/>
        <v>-2.3564694887204387E-2</v>
      </c>
      <c r="AL118" s="153">
        <f t="shared" si="43"/>
        <v>4.5850804758317681E-2</v>
      </c>
      <c r="AM118" s="153">
        <f t="shared" si="44"/>
        <v>7.1346500245007591E-2</v>
      </c>
      <c r="AN118" s="153">
        <f t="shared" si="46"/>
        <v>1.8647910734149245E-2</v>
      </c>
      <c r="AO118" s="153">
        <f t="shared" si="47"/>
        <v>3.0251176435167414E-2</v>
      </c>
      <c r="AP118" s="153">
        <f t="shared" si="48"/>
        <v>2.2833088310304256E-2</v>
      </c>
      <c r="AQ118" s="153">
        <f t="shared" si="49"/>
        <v>1.3410586309799237E-2</v>
      </c>
      <c r="AR118" s="697">
        <f t="shared" si="53"/>
        <v>6.0292330127772881E-2</v>
      </c>
      <c r="AS118" s="600">
        <f t="shared" si="45"/>
        <v>3.0227854535210496E-2</v>
      </c>
      <c r="AT118" s="109">
        <v>1</v>
      </c>
    </row>
    <row r="119" spans="1:46" ht="11.25" customHeight="1">
      <c r="A119" s="482">
        <f t="shared" si="35"/>
        <v>1994</v>
      </c>
      <c r="B119" s="559">
        <v>3.0000000000000001E-3</v>
      </c>
      <c r="C119" s="142">
        <v>2.5000000000000001E-2</v>
      </c>
      <c r="D119" s="142">
        <v>0.159</v>
      </c>
      <c r="E119" s="142">
        <v>0.33800000000000002</v>
      </c>
      <c r="F119" s="142">
        <v>2.9000000000000001E-2</v>
      </c>
      <c r="G119" s="142">
        <v>0.03</v>
      </c>
      <c r="H119" s="142">
        <v>0.11600000000000001</v>
      </c>
      <c r="I119" s="142">
        <v>0.107</v>
      </c>
      <c r="J119" s="142">
        <v>3.5000000000000003E-2</v>
      </c>
      <c r="K119" s="142">
        <v>3.5000000000000003E-2</v>
      </c>
      <c r="L119" s="142">
        <v>2.5000000000000001E-2</v>
      </c>
      <c r="M119" s="675">
        <v>9.8000000000000004E-2</v>
      </c>
      <c r="N119" s="485">
        <f t="shared" si="50"/>
        <v>0.44600000000000006</v>
      </c>
      <c r="O119" s="156"/>
      <c r="P119" s="482">
        <v>1994</v>
      </c>
      <c r="Q119" s="106">
        <f>B290*B165/$AC119</f>
        <v>5.2972981065719869E-2</v>
      </c>
      <c r="R119" s="483">
        <f>C290*C165/$AC119</f>
        <v>8.824377625050836E-2</v>
      </c>
      <c r="S119" s="483">
        <f>D290*D165/$AC119</f>
        <v>0.23546745964301083</v>
      </c>
      <c r="T119" s="483">
        <f>E290*E165/$AC119</f>
        <v>0.33940571811226938</v>
      </c>
      <c r="U119" s="483">
        <f>F290*F165/$AC119</f>
        <v>9.3423796536539053E-2</v>
      </c>
      <c r="V119" s="483">
        <f>G290*G165/$AC119</f>
        <v>2.6460588835667705E-2</v>
      </c>
      <c r="W119" s="483">
        <f>H290*H165/$AC119</f>
        <v>5.8908186753602453E-2</v>
      </c>
      <c r="X119" s="483">
        <f>I290*I165/$AC119</f>
        <v>4.3876931382135068E-2</v>
      </c>
      <c r="Y119" s="483">
        <f>J290*J165/$AC119</f>
        <v>8.3028806497272203E-3</v>
      </c>
      <c r="Z119" s="483">
        <f>K290*K165/$AC119</f>
        <v>2.0430257624930719E-2</v>
      </c>
      <c r="AA119" s="483">
        <f>L290*L165/$AC119</f>
        <v>3.9386835846527074E-3</v>
      </c>
      <c r="AB119" s="669">
        <f>M290*M165/$AC119</f>
        <v>2.856873956123672E-2</v>
      </c>
      <c r="AC119" s="114">
        <f>SUMPRODUCT($B290:$M290,$B165:$M165)</f>
        <v>566.10456380783046</v>
      </c>
      <c r="AD119" s="485">
        <f t="shared" si="51"/>
        <v>0.1904862683919526</v>
      </c>
      <c r="AE119" s="692">
        <f t="shared" si="52"/>
        <v>0.25551373160804747</v>
      </c>
      <c r="AF119" s="482">
        <f t="shared" si="37"/>
        <v>1994</v>
      </c>
      <c r="AG119" s="576">
        <f t="shared" si="38"/>
        <v>-4.9972981065719867E-2</v>
      </c>
      <c r="AH119" s="484">
        <f t="shared" si="39"/>
        <v>-6.3243776250508366E-2</v>
      </c>
      <c r="AI119" s="484">
        <f t="shared" si="40"/>
        <v>-7.6467459643010827E-2</v>
      </c>
      <c r="AJ119" s="154">
        <f t="shared" si="41"/>
        <v>-1.4057181122693607E-3</v>
      </c>
      <c r="AK119" s="154">
        <f t="shared" si="42"/>
        <v>-6.4423796536539055E-2</v>
      </c>
      <c r="AL119" s="154">
        <f t="shared" si="43"/>
        <v>3.5394111643322936E-3</v>
      </c>
      <c r="AM119" s="154">
        <f t="shared" si="44"/>
        <v>5.7091813246397553E-2</v>
      </c>
      <c r="AN119" s="154">
        <f t="shared" si="46"/>
        <v>6.312306861786493E-2</v>
      </c>
      <c r="AO119" s="154">
        <f t="shared" si="47"/>
        <v>2.6697119350272781E-2</v>
      </c>
      <c r="AP119" s="154">
        <f t="shared" si="48"/>
        <v>1.4569742375069285E-2</v>
      </c>
      <c r="AQ119" s="154">
        <f t="shared" si="49"/>
        <v>2.1061316415347295E-2</v>
      </c>
      <c r="AR119" s="697">
        <f t="shared" si="53"/>
        <v>6.9431260438763284E-2</v>
      </c>
      <c r="AS119" s="600">
        <f t="shared" si="45"/>
        <v>2.9942564971495965E-2</v>
      </c>
      <c r="AT119" s="109">
        <v>1</v>
      </c>
    </row>
    <row r="120" spans="1:46" ht="11.25" customHeight="1">
      <c r="A120" s="482">
        <f t="shared" si="35"/>
        <v>1995</v>
      </c>
      <c r="B120" s="561">
        <f>1.2/100</f>
        <v>1.2E-2</v>
      </c>
      <c r="C120" s="157">
        <f>5.5/100</f>
        <v>5.5E-2</v>
      </c>
      <c r="D120" s="157">
        <f>9.2/100</f>
        <v>9.1999999999999998E-2</v>
      </c>
      <c r="E120" s="157">
        <f>26/100</f>
        <v>0.26</v>
      </c>
      <c r="F120" s="157">
        <f>30.1/100</f>
        <v>0.30099999999999999</v>
      </c>
      <c r="G120" s="123">
        <f>5.3/100</f>
        <v>5.2999999999999999E-2</v>
      </c>
      <c r="H120" s="123">
        <f>2.1/100</f>
        <v>2.1000000000000001E-2</v>
      </c>
      <c r="I120" s="121">
        <f>5.2/100</f>
        <v>5.2000000000000005E-2</v>
      </c>
      <c r="J120" s="123">
        <f>5.2/100</f>
        <v>5.2000000000000005E-2</v>
      </c>
      <c r="K120" s="123">
        <f>2.8/100</f>
        <v>2.7999999999999997E-2</v>
      </c>
      <c r="L120" s="123">
        <f>1.9/100</f>
        <v>1.9E-2</v>
      </c>
      <c r="M120" s="676">
        <f>5.21/100</f>
        <v>5.21E-2</v>
      </c>
      <c r="N120" s="485">
        <f t="shared" si="50"/>
        <v>0.27709999999999996</v>
      </c>
      <c r="O120" s="156"/>
      <c r="P120" s="158">
        <v>1995</v>
      </c>
      <c r="Q120" s="106">
        <f>B291*B166/$AC120</f>
        <v>5.8261666153721435E-2</v>
      </c>
      <c r="R120" s="483">
        <f>C291*C166/$AC120</f>
        <v>9.6332123584402074E-2</v>
      </c>
      <c r="S120" s="483">
        <f>D291*D166/$AC120</f>
        <v>0.12008956802195817</v>
      </c>
      <c r="T120" s="483">
        <f>E291*E166/$AC120</f>
        <v>0.24146997536866002</v>
      </c>
      <c r="U120" s="483">
        <f>F291*F166/$AC120</f>
        <v>0.30818019518387507</v>
      </c>
      <c r="V120" s="483">
        <f>G291*G166/$AC120</f>
        <v>7.2022770910583928E-2</v>
      </c>
      <c r="W120" s="483">
        <f>H291*H166/$AC120</f>
        <v>1.6791286388980291E-2</v>
      </c>
      <c r="X120" s="483">
        <f>I291*I166/$AC120</f>
        <v>3.5335514968494706E-2</v>
      </c>
      <c r="Y120" s="483">
        <f>J291*J166/$AC120</f>
        <v>2.4742542795492775E-2</v>
      </c>
      <c r="Z120" s="483">
        <f>K291*K166/$AC120</f>
        <v>3.7708116434641064E-3</v>
      </c>
      <c r="AA120" s="483">
        <f>L291*L166/$AC120</f>
        <v>1.0188920330609849E-2</v>
      </c>
      <c r="AB120" s="669">
        <f>M291*M166/$AC120</f>
        <v>1.2814624649757335E-2</v>
      </c>
      <c r="AC120" s="114">
        <f>SUMPRODUCT($B291:$M291,$B166:$M166)</f>
        <v>545.12514568666063</v>
      </c>
      <c r="AD120" s="485">
        <f t="shared" si="51"/>
        <v>0.175666471687383</v>
      </c>
      <c r="AE120" s="692">
        <f t="shared" si="52"/>
        <v>0.10143352831261696</v>
      </c>
      <c r="AF120" s="482">
        <f t="shared" si="37"/>
        <v>1995</v>
      </c>
      <c r="AG120" s="577">
        <f t="shared" si="38"/>
        <v>-4.6261666153721431E-2</v>
      </c>
      <c r="AH120" s="154">
        <f t="shared" si="39"/>
        <v>-4.1332123584402074E-2</v>
      </c>
      <c r="AI120" s="154">
        <f t="shared" si="40"/>
        <v>-2.8089568021958167E-2</v>
      </c>
      <c r="AJ120" s="154">
        <f t="shared" si="41"/>
        <v>1.8530024631339986E-2</v>
      </c>
      <c r="AK120" s="154">
        <f t="shared" si="42"/>
        <v>-7.1801951838750822E-3</v>
      </c>
      <c r="AL120" s="154">
        <f t="shared" si="43"/>
        <v>-1.9022770910583929E-2</v>
      </c>
      <c r="AM120" s="154">
        <f t="shared" si="44"/>
        <v>4.2087136110197099E-3</v>
      </c>
      <c r="AN120" s="154">
        <f t="shared" si="46"/>
        <v>1.6664485031505298E-2</v>
      </c>
      <c r="AO120" s="154">
        <f t="shared" si="47"/>
        <v>2.7257457204507229E-2</v>
      </c>
      <c r="AP120" s="154">
        <f t="shared" si="48"/>
        <v>2.422918835653589E-2</v>
      </c>
      <c r="AQ120" s="154">
        <f t="shared" si="49"/>
        <v>8.8110796693901504E-3</v>
      </c>
      <c r="AR120" s="697">
        <f t="shared" si="53"/>
        <v>3.9285375350242666E-2</v>
      </c>
      <c r="AS120" s="600">
        <f t="shared" si="45"/>
        <v>8.6407095704547215E-3</v>
      </c>
      <c r="AT120" s="109">
        <v>1</v>
      </c>
    </row>
    <row r="121" spans="1:46" ht="11.25" customHeight="1">
      <c r="A121" s="482">
        <v>1996</v>
      </c>
      <c r="B121" s="562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676"/>
      <c r="N121" s="424"/>
      <c r="O121" s="156"/>
      <c r="P121" s="482">
        <v>1996</v>
      </c>
      <c r="Q121" s="106">
        <f>B292*B167/$AC121</f>
        <v>4.3595103051439252E-2</v>
      </c>
      <c r="R121" s="483">
        <f>C292*C167/$AC121</f>
        <v>0.10963148132835249</v>
      </c>
      <c r="S121" s="483">
        <f>D292*D167/$AC121</f>
        <v>0.13597780146613042</v>
      </c>
      <c r="T121" s="483">
        <f>E292*E167/$AC121</f>
        <v>0.12878289077533836</v>
      </c>
      <c r="U121" s="483">
        <f>F292*F167/$AC121</f>
        <v>0.23125431429303711</v>
      </c>
      <c r="V121" s="483">
        <f>G292*G167/$AC121</f>
        <v>0.24648421659079933</v>
      </c>
      <c r="W121" s="483">
        <f>H292*H167/$AC121</f>
        <v>5.3776063062879222E-2</v>
      </c>
      <c r="X121" s="483">
        <f>I292*I167/$AC121</f>
        <v>1.0481040585081933E-2</v>
      </c>
      <c r="Y121" s="483">
        <f>J292*J167/$AC121</f>
        <v>2.0269990832664356E-2</v>
      </c>
      <c r="Z121" s="483">
        <f>K292*K167/$AC121</f>
        <v>1.2090100997027205E-2</v>
      </c>
      <c r="AA121" s="483">
        <f>L292*L167/$AC121</f>
        <v>4.6927122882472966E-9</v>
      </c>
      <c r="AB121" s="669">
        <f>M292*M167/$AC121</f>
        <v>7.656992324537956E-3</v>
      </c>
      <c r="AC121" s="114">
        <f>SUMPRODUCT($B292:$M292,$B167:$M167)</f>
        <v>507.75322676567322</v>
      </c>
      <c r="AD121" s="485">
        <f t="shared" si="51"/>
        <v>0.35075840908570233</v>
      </c>
      <c r="AE121" s="692">
        <f t="shared" si="52"/>
        <v>-0.35075840908570233</v>
      </c>
      <c r="AF121" s="482">
        <f t="shared" si="37"/>
        <v>1996</v>
      </c>
      <c r="AG121" s="577"/>
      <c r="AH121" s="154"/>
      <c r="AI121" s="154"/>
      <c r="AJ121" s="154"/>
      <c r="AK121" s="154"/>
      <c r="AL121" s="154"/>
      <c r="AM121" s="154"/>
      <c r="AN121" s="154"/>
      <c r="AO121" s="154"/>
      <c r="AP121" s="154"/>
      <c r="AQ121" s="154"/>
      <c r="AR121" s="697"/>
      <c r="AS121" s="600"/>
      <c r="AT121" s="109"/>
    </row>
    <row r="122" spans="1:46" ht="11.25" customHeight="1">
      <c r="A122" s="482">
        <v>1997</v>
      </c>
      <c r="B122" s="563">
        <v>0.12509999999999999</v>
      </c>
      <c r="C122" s="159">
        <v>7.0000000000000007E-2</v>
      </c>
      <c r="D122" s="159">
        <v>0.14899999999999999</v>
      </c>
      <c r="E122" s="159">
        <v>0.12</v>
      </c>
      <c r="F122" s="159">
        <v>9.0999999999999998E-2</v>
      </c>
      <c r="G122" s="159">
        <v>0.17100000000000001</v>
      </c>
      <c r="H122" s="159">
        <v>0.13800000000000001</v>
      </c>
      <c r="I122" s="159">
        <v>5.1999999999999998E-2</v>
      </c>
      <c r="J122" s="159">
        <v>1.0999999999999999E-2</v>
      </c>
      <c r="K122" s="159">
        <v>2.4E-2</v>
      </c>
      <c r="L122" s="159">
        <v>1.4E-2</v>
      </c>
      <c r="M122" s="677">
        <v>3.3000000000000002E-2</v>
      </c>
      <c r="N122" s="485">
        <f t="shared" si="50"/>
        <v>0.44300000000000006</v>
      </c>
      <c r="O122" s="156"/>
      <c r="P122" s="482">
        <v>1997</v>
      </c>
      <c r="Q122" s="106">
        <f>B293*B168/$AC122</f>
        <v>7.9413397647334918E-2</v>
      </c>
      <c r="R122" s="483">
        <f>C293*C168/$AC122</f>
        <v>8.0906598057781248E-2</v>
      </c>
      <c r="S122" s="483">
        <f>D293*D168/$AC122</f>
        <v>0.15300517438570577</v>
      </c>
      <c r="T122" s="483">
        <f>E293*E168/$AC122</f>
        <v>0.14449269963694178</v>
      </c>
      <c r="U122" s="483">
        <f>F293*F168/$AC122</f>
        <v>0.12238170930464298</v>
      </c>
      <c r="V122" s="483">
        <f>G293*G168/$AC122</f>
        <v>0.18390117367956688</v>
      </c>
      <c r="W122" s="483">
        <f>H293*H168/$AC122</f>
        <v>0.17969214317931326</v>
      </c>
      <c r="X122" s="483">
        <f>I293*I168/$AC122</f>
        <v>3.493483441199504E-2</v>
      </c>
      <c r="Y122" s="483">
        <f>J293*J168/$AC122</f>
        <v>4.8761537041430948E-3</v>
      </c>
      <c r="Z122" s="483">
        <f>K293*K168/$AC122</f>
        <v>1.0647265398017892E-2</v>
      </c>
      <c r="AA122" s="483">
        <f>L293*L168/$AC122</f>
        <v>4.5302038424359118E-3</v>
      </c>
      <c r="AB122" s="669">
        <f>M293*M168/$AC122</f>
        <v>1.2186467521211693E-3</v>
      </c>
      <c r="AC122" s="114">
        <f>SUMPRODUCT($B293:$M293,$B168:$M168)</f>
        <v>480.09149926587605</v>
      </c>
      <c r="AD122" s="485">
        <f t="shared" si="51"/>
        <v>0.41980042096759324</v>
      </c>
      <c r="AE122" s="692">
        <f t="shared" si="52"/>
        <v>2.3199579032406825E-2</v>
      </c>
      <c r="AF122" s="482">
        <f t="shared" si="37"/>
        <v>1997</v>
      </c>
      <c r="AG122" s="577">
        <f t="shared" ref="AG122:AR122" si="54">B122-Q122</f>
        <v>4.5686602352665071E-2</v>
      </c>
      <c r="AH122" s="154">
        <f t="shared" si="54"/>
        <v>-1.0906598057781242E-2</v>
      </c>
      <c r="AI122" s="154">
        <f t="shared" si="54"/>
        <v>-4.0051743857057731E-3</v>
      </c>
      <c r="AJ122" s="154">
        <f t="shared" si="54"/>
        <v>-2.4492699636941784E-2</v>
      </c>
      <c r="AK122" s="154">
        <f t="shared" si="54"/>
        <v>-3.1381709304642985E-2</v>
      </c>
      <c r="AL122" s="154">
        <f t="shared" si="54"/>
        <v>-1.2901173679566863E-2</v>
      </c>
      <c r="AM122" s="154">
        <f t="shared" si="54"/>
        <v>-4.1692143179313246E-2</v>
      </c>
      <c r="AN122" s="154">
        <f t="shared" si="54"/>
        <v>1.7065165588004957E-2</v>
      </c>
      <c r="AO122" s="154">
        <f t="shared" si="54"/>
        <v>6.1238462958569046E-3</v>
      </c>
      <c r="AP122" s="154">
        <f t="shared" si="54"/>
        <v>1.3352734601982108E-2</v>
      </c>
      <c r="AQ122" s="154">
        <f t="shared" si="54"/>
        <v>9.4697961575640893E-3</v>
      </c>
      <c r="AR122" s="697">
        <f t="shared" si="54"/>
        <v>3.1781353247878834E-2</v>
      </c>
      <c r="AS122" s="600">
        <f t="shared" si="45"/>
        <v>7.3183883820502763E-3</v>
      </c>
      <c r="AT122" s="109">
        <v>1</v>
      </c>
    </row>
    <row r="123" spans="1:46" ht="11.25" customHeight="1">
      <c r="A123" s="482">
        <v>1998</v>
      </c>
      <c r="B123" s="535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678"/>
      <c r="N123" s="425"/>
      <c r="O123" s="156"/>
      <c r="P123" s="482">
        <v>1998</v>
      </c>
      <c r="Q123" s="106">
        <f>B294*B169/$AC123</f>
        <v>1.6357456116089842E-2</v>
      </c>
      <c r="R123" s="483">
        <f>C294*C169/$AC123</f>
        <v>0.15573698811670222</v>
      </c>
      <c r="S123" s="483">
        <f>D294*D169/$AC123</f>
        <v>0.11874089075448584</v>
      </c>
      <c r="T123" s="483">
        <f>E294*E169/$AC123</f>
        <v>0.16976478306329637</v>
      </c>
      <c r="U123" s="483">
        <f>F294*F169/$AC123</f>
        <v>0.14246285131255748</v>
      </c>
      <c r="V123" s="483">
        <f>G294*G169/$AC123</f>
        <v>0.10151754468803875</v>
      </c>
      <c r="W123" s="483">
        <f>H294*H169/$AC123</f>
        <v>0.13914310116756251</v>
      </c>
      <c r="X123" s="483">
        <f>I294*I169/$AC123</f>
        <v>0.12746115199726799</v>
      </c>
      <c r="Y123" s="483">
        <f>J294*J169/$AC123</f>
        <v>2.0625263280070874E-2</v>
      </c>
      <c r="Z123" s="483">
        <f>K294*K169/$AC123</f>
        <v>2.1356657391407284E-3</v>
      </c>
      <c r="AA123" s="483">
        <f>L294*L169/$AC123</f>
        <v>5.1692549985471467E-3</v>
      </c>
      <c r="AB123" s="669">
        <f>M294*M169/$AC123</f>
        <v>8.8504876624028025E-4</v>
      </c>
      <c r="AC123" s="114">
        <f>SUMPRODUCT($B294:$M294,$B169:$M169)</f>
        <v>428.39297539459312</v>
      </c>
      <c r="AD123" s="485">
        <f t="shared" si="51"/>
        <v>0.39693703063686825</v>
      </c>
      <c r="AE123" s="692">
        <f t="shared" si="52"/>
        <v>-0.39693703063686825</v>
      </c>
      <c r="AF123" s="482">
        <v>1998</v>
      </c>
      <c r="AG123" s="577"/>
      <c r="AH123" s="154"/>
      <c r="AI123" s="154"/>
      <c r="AJ123" s="154"/>
      <c r="AK123" s="154"/>
      <c r="AL123" s="154"/>
      <c r="AM123" s="154"/>
      <c r="AN123" s="154"/>
      <c r="AO123" s="154"/>
      <c r="AP123" s="154"/>
      <c r="AQ123" s="154"/>
      <c r="AR123" s="697"/>
      <c r="AS123" s="600"/>
      <c r="AT123" s="109"/>
    </row>
    <row r="124" spans="1:46" ht="11.25" customHeight="1">
      <c r="A124" s="482">
        <v>1999</v>
      </c>
      <c r="B124" s="564">
        <v>5.0000000000000001E-3</v>
      </c>
      <c r="C124" s="437">
        <v>1.7000000000000001E-2</v>
      </c>
      <c r="D124" s="437">
        <v>0.182</v>
      </c>
      <c r="E124" s="437">
        <v>0.109</v>
      </c>
      <c r="F124" s="437">
        <v>0.129</v>
      </c>
      <c r="G124" s="437">
        <v>0.105</v>
      </c>
      <c r="H124" s="437">
        <v>7.0999999999999994E-2</v>
      </c>
      <c r="I124" s="437">
        <v>0.14499999999999999</v>
      </c>
      <c r="J124" s="437">
        <v>0.114</v>
      </c>
      <c r="K124" s="437">
        <v>7.4999999999999997E-2</v>
      </c>
      <c r="L124" s="437">
        <v>1.4999999999999999E-2</v>
      </c>
      <c r="M124" s="679">
        <v>3.1E-2</v>
      </c>
      <c r="N124" s="485">
        <f t="shared" si="50"/>
        <v>0.55599999999999994</v>
      </c>
      <c r="O124" s="156"/>
      <c r="P124" s="482">
        <v>1999</v>
      </c>
      <c r="Q124" s="106">
        <f>B295*B170/$AC124</f>
        <v>1.9257128409899578E-2</v>
      </c>
      <c r="R124" s="483">
        <f>C295*C170/$AC124</f>
        <v>3.3307986384880577E-2</v>
      </c>
      <c r="S124" s="483">
        <f>D295*D170/$AC124</f>
        <v>0.23776988231148161</v>
      </c>
      <c r="T124" s="483">
        <f>E295*E170/$AC124</f>
        <v>0.13706911633343816</v>
      </c>
      <c r="U124" s="483">
        <f>F295*F170/$AC124</f>
        <v>0.17183804407027503</v>
      </c>
      <c r="V124" s="483">
        <f>G295*G170/$AC124</f>
        <v>0.12087441421674558</v>
      </c>
      <c r="W124" s="483">
        <f>H295*H170/$AC124</f>
        <v>7.9454704916819191E-2</v>
      </c>
      <c r="X124" s="483">
        <f>I295*I170/$AC124</f>
        <v>0.10275939413758983</v>
      </c>
      <c r="Y124" s="483">
        <f>J295*J170/$AC124</f>
        <v>8.5625120413514527E-2</v>
      </c>
      <c r="Z124" s="483">
        <f>K295*K170/$AC124</f>
        <v>9.7831704731457022E-3</v>
      </c>
      <c r="AA124" s="483">
        <f>L295*L170/$AC124</f>
        <v>5.4654681620643961E-9</v>
      </c>
      <c r="AB124" s="669">
        <f>M295*M170/$AC124</f>
        <v>2.2610328667418728E-3</v>
      </c>
      <c r="AC124" s="114">
        <f>SUMPRODUCT($B295:$M295,$B170:$M170)</f>
        <v>368.60228886138276</v>
      </c>
      <c r="AD124" s="485">
        <f t="shared" si="51"/>
        <v>0.40075784249002494</v>
      </c>
      <c r="AE124" s="692">
        <f t="shared" si="52"/>
        <v>0.155242157509975</v>
      </c>
      <c r="AF124" s="482">
        <v>1999</v>
      </c>
      <c r="AG124" s="576">
        <f t="shared" ref="AG124:AR124" si="55">B124-Q124</f>
        <v>-1.4257128409899577E-2</v>
      </c>
      <c r="AH124" s="484">
        <f t="shared" si="55"/>
        <v>-1.6307986384880575E-2</v>
      </c>
      <c r="AI124" s="484">
        <f t="shared" si="55"/>
        <v>-5.5769882311481611E-2</v>
      </c>
      <c r="AJ124" s="484">
        <f t="shared" si="55"/>
        <v>-2.8069116333438157E-2</v>
      </c>
      <c r="AK124" s="484">
        <f t="shared" si="55"/>
        <v>-4.2838044070275028E-2</v>
      </c>
      <c r="AL124" s="484">
        <f t="shared" si="55"/>
        <v>-1.5874414216745583E-2</v>
      </c>
      <c r="AM124" s="484">
        <f t="shared" si="55"/>
        <v>-8.4547049168191973E-3</v>
      </c>
      <c r="AN124" s="484">
        <f t="shared" si="55"/>
        <v>4.2240605862410158E-2</v>
      </c>
      <c r="AO124" s="484">
        <f t="shared" si="55"/>
        <v>2.8374879586485477E-2</v>
      </c>
      <c r="AP124" s="484">
        <f t="shared" si="55"/>
        <v>6.52168295268543E-2</v>
      </c>
      <c r="AQ124" s="154">
        <f t="shared" si="55"/>
        <v>1.4999994534531838E-2</v>
      </c>
      <c r="AR124" s="697">
        <f t="shared" si="55"/>
        <v>2.8738967133258127E-2</v>
      </c>
      <c r="AS124" s="600">
        <f t="shared" si="45"/>
        <v>1.4419513773552817E-2</v>
      </c>
      <c r="AT124" s="109">
        <v>1</v>
      </c>
    </row>
    <row r="125" spans="1:46" ht="11.25" customHeight="1">
      <c r="A125" s="482">
        <v>2000</v>
      </c>
      <c r="B125" s="564"/>
      <c r="C125" s="437"/>
      <c r="D125" s="437"/>
      <c r="E125" s="437"/>
      <c r="F125" s="437"/>
      <c r="G125" s="437"/>
      <c r="H125" s="437"/>
      <c r="I125" s="437"/>
      <c r="J125" s="437"/>
      <c r="K125" s="437"/>
      <c r="L125" s="437"/>
      <c r="M125" s="679"/>
      <c r="N125" s="426"/>
      <c r="O125" s="156"/>
      <c r="P125" s="482">
        <v>2000</v>
      </c>
      <c r="Q125" s="106">
        <f>B296*B171/$AC125</f>
        <v>0.1521720580345689</v>
      </c>
      <c r="R125" s="483">
        <f>C296*C171/$AC125</f>
        <v>3.5974856824055455E-2</v>
      </c>
      <c r="S125" s="483">
        <f>D296*D171/$AC125</f>
        <v>4.6584733144155205E-2</v>
      </c>
      <c r="T125" s="483">
        <f>E296*E171/$AC125</f>
        <v>0.25094824211568134</v>
      </c>
      <c r="U125" s="483">
        <f>F296*F171/$AC125</f>
        <v>0.12820429630183117</v>
      </c>
      <c r="V125" s="483">
        <f>G296*G171/$AC125</f>
        <v>0.13326562242342405</v>
      </c>
      <c r="W125" s="483">
        <f>H296*H171/$AC125</f>
        <v>8.6653138282550557E-2</v>
      </c>
      <c r="X125" s="483">
        <f>I296*I171/$AC125</f>
        <v>5.2582713247850056E-2</v>
      </c>
      <c r="Y125" s="483">
        <f>J296*J171/$AC125</f>
        <v>6.2649711121565907E-2</v>
      </c>
      <c r="Z125" s="483">
        <f>K296*K171/$AC125</f>
        <v>4.7774441007880843E-2</v>
      </c>
      <c r="AA125" s="483">
        <f>L296*L171/$AC125</f>
        <v>3.1901773052003201E-3</v>
      </c>
      <c r="AB125" s="669">
        <f>M296*M171/$AC125</f>
        <v>1.019123628839409E-8</v>
      </c>
      <c r="AC125" s="114">
        <f>SUMPRODUCT($B296:$M296,$B171:$M171)</f>
        <v>345.31848504501249</v>
      </c>
      <c r="AD125" s="485">
        <f t="shared" si="51"/>
        <v>0.38611581357970809</v>
      </c>
      <c r="AE125" s="692">
        <f t="shared" si="52"/>
        <v>-0.38611581357970809</v>
      </c>
      <c r="AF125" s="482">
        <v>2000</v>
      </c>
      <c r="AG125" s="576"/>
      <c r="AH125" s="484"/>
      <c r="AI125" s="484"/>
      <c r="AJ125" s="484"/>
      <c r="AK125" s="484"/>
      <c r="AL125" s="484"/>
      <c r="AM125" s="484"/>
      <c r="AN125" s="484"/>
      <c r="AO125" s="484"/>
      <c r="AP125" s="484"/>
      <c r="AQ125" s="154"/>
      <c r="AR125" s="697"/>
      <c r="AS125" s="600"/>
      <c r="AT125" s="109"/>
    </row>
    <row r="126" spans="1:46" ht="11.25" customHeight="1">
      <c r="A126" s="163" t="s">
        <v>103</v>
      </c>
      <c r="B126" s="565">
        <v>0.105</v>
      </c>
      <c r="C126" s="438">
        <v>0.33600000000000002</v>
      </c>
      <c r="D126" s="438">
        <v>6.2E-2</v>
      </c>
      <c r="E126" s="438">
        <v>3.5999999999999997E-2</v>
      </c>
      <c r="F126" s="438">
        <v>0.22500000000000001</v>
      </c>
      <c r="G126" s="438">
        <v>5.8999999999999997E-2</v>
      </c>
      <c r="H126" s="438">
        <v>5.8999999999999997E-2</v>
      </c>
      <c r="I126" s="438">
        <v>3.9E-2</v>
      </c>
      <c r="J126" s="438">
        <v>4.1000000000000002E-2</v>
      </c>
      <c r="K126" s="438">
        <v>2.4E-2</v>
      </c>
      <c r="L126" s="438">
        <v>1.2E-2</v>
      </c>
      <c r="M126" s="680">
        <v>3.0000000000000001E-3</v>
      </c>
      <c r="N126" s="485">
        <f t="shared" si="50"/>
        <v>0.23700000000000002</v>
      </c>
      <c r="O126" s="156"/>
      <c r="P126" s="482">
        <v>2001</v>
      </c>
      <c r="Q126" s="106">
        <f>B297*B172/$AC126</f>
        <v>0.20410743353771027</v>
      </c>
      <c r="R126" s="483">
        <f>C297*C172/$AC126</f>
        <v>0.23817354037964081</v>
      </c>
      <c r="S126" s="483">
        <f>D297*D172/$AC126</f>
        <v>4.2075939517151391E-2</v>
      </c>
      <c r="T126" s="483">
        <f>E297*E172/$AC126</f>
        <v>4.0967238052819217E-2</v>
      </c>
      <c r="U126" s="483">
        <f>F297*F172/$AC126</f>
        <v>0.19275657933337051</v>
      </c>
      <c r="V126" s="483">
        <f>G297*G172/$AC126</f>
        <v>8.0716398682890295E-2</v>
      </c>
      <c r="W126" s="483">
        <f>H297*H172/$AC126</f>
        <v>7.8214625006517061E-2</v>
      </c>
      <c r="X126" s="483">
        <f>I297*I172/$AC126</f>
        <v>4.813959451600705E-2</v>
      </c>
      <c r="Y126" s="483">
        <f>J297*J172/$AC126</f>
        <v>2.4535651764507355E-2</v>
      </c>
      <c r="Z126" s="483">
        <f>K297*K172/$AC126</f>
        <v>2.9860732876733465E-2</v>
      </c>
      <c r="AA126" s="483">
        <f>L297*L172/$AC126</f>
        <v>2.0452252470895462E-2</v>
      </c>
      <c r="AB126" s="669">
        <f>M297*M172/$AC126</f>
        <v>1.3861757114706642E-8</v>
      </c>
      <c r="AC126" s="114">
        <f>SUMPRODUCT($B297:$M297,$B172:$M172)</f>
        <v>385.64990243666801</v>
      </c>
      <c r="AD126" s="485">
        <f t="shared" si="51"/>
        <v>0.28191926917930782</v>
      </c>
      <c r="AE126" s="692">
        <f t="shared" si="52"/>
        <v>-4.4919269179307802E-2</v>
      </c>
      <c r="AF126" s="482">
        <v>2001</v>
      </c>
      <c r="AG126" s="576">
        <f t="shared" ref="AG126:AR126" si="56">B126-Q126</f>
        <v>-9.9107433537710274E-2</v>
      </c>
      <c r="AH126" s="484">
        <f t="shared" si="56"/>
        <v>9.7826459620359213E-2</v>
      </c>
      <c r="AI126" s="484">
        <f t="shared" si="56"/>
        <v>1.9924060482848609E-2</v>
      </c>
      <c r="AJ126" s="484">
        <f t="shared" si="56"/>
        <v>-4.96723805281922E-3</v>
      </c>
      <c r="AK126" s="484">
        <f t="shared" si="56"/>
        <v>3.2243420666629496E-2</v>
      </c>
      <c r="AL126" s="484">
        <f t="shared" si="56"/>
        <v>-2.1716398682890298E-2</v>
      </c>
      <c r="AM126" s="484">
        <f t="shared" si="56"/>
        <v>-1.9214625006517064E-2</v>
      </c>
      <c r="AN126" s="484">
        <f t="shared" si="56"/>
        <v>-9.1395945160070505E-3</v>
      </c>
      <c r="AO126" s="484">
        <f t="shared" si="56"/>
        <v>1.6464348235492646E-2</v>
      </c>
      <c r="AP126" s="484">
        <f t="shared" si="56"/>
        <v>-5.860732876733464E-3</v>
      </c>
      <c r="AQ126" s="154">
        <f t="shared" si="56"/>
        <v>-8.4522524708954619E-3</v>
      </c>
      <c r="AR126" s="697">
        <f t="shared" si="56"/>
        <v>2.9999861382428855E-3</v>
      </c>
      <c r="AS126" s="600">
        <f t="shared" si="45"/>
        <v>2.2163778815713988E-2</v>
      </c>
      <c r="AT126" s="109">
        <v>1</v>
      </c>
    </row>
    <row r="127" spans="1:46" ht="11.25" customHeight="1">
      <c r="A127" s="482">
        <v>2002</v>
      </c>
      <c r="B127" s="566"/>
      <c r="C127" s="439"/>
      <c r="D127" s="439"/>
      <c r="E127" s="439"/>
      <c r="F127" s="439"/>
      <c r="G127" s="439"/>
      <c r="H127" s="439"/>
      <c r="I127" s="439"/>
      <c r="J127" s="439"/>
      <c r="K127" s="439"/>
      <c r="L127" s="439"/>
      <c r="M127" s="681"/>
      <c r="N127" s="427"/>
      <c r="O127" s="156"/>
      <c r="P127" s="482">
        <v>2002</v>
      </c>
      <c r="Q127" s="106">
        <f>B298*B173/$AC127</f>
        <v>8.8252135901548415E-2</v>
      </c>
      <c r="R127" s="483">
        <f>C298*C173/$AC127</f>
        <v>0.31569115110781543</v>
      </c>
      <c r="S127" s="483">
        <f>D298*D173/$AC127</f>
        <v>0.27497131930512303</v>
      </c>
      <c r="T127" s="483">
        <f>E298*E173/$AC127</f>
        <v>3.6503404228267151E-2</v>
      </c>
      <c r="U127" s="483">
        <f>F298*F173/$AC127</f>
        <v>3.0469390824993964E-2</v>
      </c>
      <c r="V127" s="483">
        <f>G298*G173/$AC127</f>
        <v>0.11153733458593454</v>
      </c>
      <c r="W127" s="483">
        <f>H298*H173/$AC127</f>
        <v>4.572820105526889E-2</v>
      </c>
      <c r="X127" s="483">
        <f>I298*I173/$AC127</f>
        <v>4.0709612092583662E-2</v>
      </c>
      <c r="Y127" s="483">
        <f>J298*J173/$AC127</f>
        <v>2.3905496511936634E-2</v>
      </c>
      <c r="Z127" s="483">
        <f>K298*K173/$AC127</f>
        <v>1.0682788017566693E-2</v>
      </c>
      <c r="AA127" s="483">
        <f>L298*L173/$AC127</f>
        <v>1.3207009536899255E-2</v>
      </c>
      <c r="AB127" s="669">
        <f>M298*M173/$AC127</f>
        <v>8.3421568320621673E-3</v>
      </c>
      <c r="AC127" s="114">
        <f>SUMPRODUCT($B298:$M298,$B173:$M173)</f>
        <v>435.65319536117931</v>
      </c>
      <c r="AD127" s="485">
        <f t="shared" si="51"/>
        <v>0.25411259863225188</v>
      </c>
      <c r="AE127" s="692">
        <f t="shared" si="52"/>
        <v>-0.25411259863225188</v>
      </c>
      <c r="AF127" s="482">
        <v>2002</v>
      </c>
      <c r="AG127" s="576"/>
      <c r="AH127" s="484"/>
      <c r="AI127" s="484"/>
      <c r="AJ127" s="484"/>
      <c r="AK127" s="484"/>
      <c r="AL127" s="484"/>
      <c r="AM127" s="484"/>
      <c r="AN127" s="484"/>
      <c r="AO127" s="484"/>
      <c r="AP127" s="484"/>
      <c r="AQ127" s="154"/>
      <c r="AR127" s="697"/>
      <c r="AS127" s="600"/>
      <c r="AT127" s="109"/>
    </row>
    <row r="128" spans="1:46" ht="11.25" customHeight="1">
      <c r="A128" s="482">
        <v>2003</v>
      </c>
      <c r="B128" s="566"/>
      <c r="C128" s="439"/>
      <c r="D128" s="439"/>
      <c r="E128" s="439"/>
      <c r="F128" s="439"/>
      <c r="G128" s="439"/>
      <c r="H128" s="439"/>
      <c r="I128" s="439"/>
      <c r="J128" s="439"/>
      <c r="K128" s="439"/>
      <c r="L128" s="439"/>
      <c r="M128" s="681"/>
      <c r="N128" s="427"/>
      <c r="O128" s="156"/>
      <c r="P128" s="482">
        <v>2003</v>
      </c>
      <c r="Q128" s="106">
        <f>B299*B174/$AC128</f>
        <v>2.8586445370170115E-2</v>
      </c>
      <c r="R128" s="483">
        <f>C299*C174/$AC128</f>
        <v>0.14256177948146734</v>
      </c>
      <c r="S128" s="483">
        <f>D299*D174/$AC128</f>
        <v>0.38452943691648234</v>
      </c>
      <c r="T128" s="483">
        <f>E299*E174/$AC128</f>
        <v>0.2551625706161465</v>
      </c>
      <c r="U128" s="483">
        <f>F299*F174/$AC128</f>
        <v>2.9384806223171328E-2</v>
      </c>
      <c r="V128" s="483">
        <f>G299*G174/$AC128</f>
        <v>1.8819151673863249E-2</v>
      </c>
      <c r="W128" s="483">
        <f>H299*H174/$AC128</f>
        <v>6.7109828061544127E-2</v>
      </c>
      <c r="X128" s="483">
        <f>I299*I174/$AC128</f>
        <v>2.5750688949149586E-2</v>
      </c>
      <c r="Y128" s="483">
        <f>J299*J174/$AC128</f>
        <v>2.1991061394438256E-2</v>
      </c>
      <c r="Z128" s="483">
        <f>K299*K174/$AC128</f>
        <v>1.1998739640841839E-2</v>
      </c>
      <c r="AA128" s="483">
        <f>L299*L174/$AC128</f>
        <v>4.9811174782080098E-3</v>
      </c>
      <c r="AB128" s="669">
        <f>M299*M174/$AC128</f>
        <v>9.1243741945172471E-3</v>
      </c>
      <c r="AC128" s="114">
        <f>SUMPRODUCT($B299:$M299,$B174:$M174)</f>
        <v>474.07652516383882</v>
      </c>
      <c r="AD128" s="485">
        <f t="shared" si="51"/>
        <v>0.15977496139256231</v>
      </c>
      <c r="AE128" s="692">
        <f t="shared" si="52"/>
        <v>-0.15977496139256231</v>
      </c>
      <c r="AF128" s="482">
        <v>2003</v>
      </c>
      <c r="AG128" s="576"/>
      <c r="AH128" s="484"/>
      <c r="AI128" s="484"/>
      <c r="AJ128" s="484"/>
      <c r="AK128" s="484"/>
      <c r="AL128" s="484"/>
      <c r="AM128" s="484"/>
      <c r="AN128" s="484"/>
      <c r="AO128" s="484"/>
      <c r="AP128" s="484"/>
      <c r="AQ128" s="154"/>
      <c r="AR128" s="697"/>
      <c r="AS128" s="600"/>
      <c r="AT128" s="109"/>
    </row>
    <row r="129" spans="1:49" ht="11.25" customHeight="1">
      <c r="A129" s="482">
        <v>2004</v>
      </c>
      <c r="B129" s="566"/>
      <c r="C129" s="439"/>
      <c r="D129" s="439"/>
      <c r="E129" s="439"/>
      <c r="F129" s="439"/>
      <c r="G129" s="439"/>
      <c r="H129" s="439"/>
      <c r="I129" s="439"/>
      <c r="J129" s="439"/>
      <c r="K129" s="439"/>
      <c r="L129" s="439"/>
      <c r="M129" s="681"/>
      <c r="N129" s="427"/>
      <c r="O129" s="156"/>
      <c r="P129" s="482">
        <v>2004</v>
      </c>
      <c r="Q129" s="106">
        <f>B300*B175/$AC129</f>
        <v>2.601832833902137E-2</v>
      </c>
      <c r="R129" s="483">
        <f>C300*C175/$AC129</f>
        <v>5.0950278231992073E-2</v>
      </c>
      <c r="S129" s="483">
        <f>D300*D175/$AC129</f>
        <v>0.1914466679062326</v>
      </c>
      <c r="T129" s="483">
        <f>E300*E175/$AC129</f>
        <v>0.39233512967812789</v>
      </c>
      <c r="U129" s="483">
        <f>F300*F175/$AC129</f>
        <v>0.22694011594710792</v>
      </c>
      <c r="V129" s="483">
        <f>G300*G175/$AC129</f>
        <v>2.0196113674284904E-2</v>
      </c>
      <c r="W129" s="483">
        <f>H300*H175/$AC129</f>
        <v>1.0769212173566446E-2</v>
      </c>
      <c r="X129" s="483">
        <f>I300*I175/$AC129</f>
        <v>4.1934726159804592E-2</v>
      </c>
      <c r="Y129" s="483">
        <f>J300*J175/$AC129</f>
        <v>1.5010025477984261E-2</v>
      </c>
      <c r="Z129" s="483">
        <f>K300*K175/$AC129</f>
        <v>1.2042584539925627E-2</v>
      </c>
      <c r="AA129" s="483">
        <f>L300*L175/$AC129</f>
        <v>5.9721050751968454E-3</v>
      </c>
      <c r="AB129" s="669">
        <f>M300*M175/$AC129</f>
        <v>6.3847127967553118E-3</v>
      </c>
      <c r="AC129" s="114">
        <f>SUMPRODUCT($B300:$M300,$B175:$M175)</f>
        <v>467.33630167444056</v>
      </c>
      <c r="AD129" s="485">
        <f t="shared" si="51"/>
        <v>0.11230947989751798</v>
      </c>
      <c r="AE129" s="692">
        <f t="shared" si="52"/>
        <v>-0.11230947989751798</v>
      </c>
      <c r="AF129" s="482">
        <v>2004</v>
      </c>
      <c r="AG129" s="576"/>
      <c r="AH129" s="484"/>
      <c r="AI129" s="484"/>
      <c r="AJ129" s="484"/>
      <c r="AK129" s="484"/>
      <c r="AL129" s="484"/>
      <c r="AM129" s="484"/>
      <c r="AN129" s="484"/>
      <c r="AO129" s="484"/>
      <c r="AP129" s="484"/>
      <c r="AQ129" s="154"/>
      <c r="AR129" s="697"/>
      <c r="AS129" s="600"/>
      <c r="AT129" s="109"/>
    </row>
    <row r="130" spans="1:49" ht="11.25" customHeight="1">
      <c r="A130" s="482">
        <v>2005</v>
      </c>
      <c r="B130" s="566">
        <v>1.6200891049007696E-3</v>
      </c>
      <c r="C130" s="439">
        <v>5.2652895909275008E-3</v>
      </c>
      <c r="D130" s="439">
        <v>9.7205346294046164E-3</v>
      </c>
      <c r="E130" s="439">
        <v>0.1324422843256379</v>
      </c>
      <c r="F130" s="439">
        <v>0.44268934791413528</v>
      </c>
      <c r="G130" s="439">
        <v>0.20251113811259619</v>
      </c>
      <c r="H130" s="439">
        <v>5.7513163223977329E-2</v>
      </c>
      <c r="I130" s="439">
        <v>5.4272985014175781E-2</v>
      </c>
      <c r="J130" s="439">
        <v>4.4957472660996353E-2</v>
      </c>
      <c r="K130" s="439">
        <v>1.6200891049007696E-2</v>
      </c>
      <c r="L130" s="439">
        <v>1.336573511543135E-2</v>
      </c>
      <c r="M130" s="681">
        <v>1.9439999999999999E-2</v>
      </c>
      <c r="N130" s="485">
        <f t="shared" ref="N130:N137" si="57">SUM(G130:M130)</f>
        <v>0.40826138517618471</v>
      </c>
      <c r="O130" s="156"/>
      <c r="P130" s="482">
        <v>2005</v>
      </c>
      <c r="Q130" s="106">
        <f>B301*B176/$AC130</f>
        <v>5.9226352447656568E-2</v>
      </c>
      <c r="R130" s="483">
        <f>C301*C176/$AC130</f>
        <v>4.7921740130441315E-2</v>
      </c>
      <c r="S130" s="483">
        <f>D301*D176/$AC130</f>
        <v>7.0880504645273179E-2</v>
      </c>
      <c r="T130" s="483">
        <f>E301*E176/$AC130</f>
        <v>0.20397849479850949</v>
      </c>
      <c r="U130" s="483">
        <f>F301*F176/$AC130</f>
        <v>0.3743725091086173</v>
      </c>
      <c r="V130" s="483">
        <f>G301*G176/$AC130</f>
        <v>0.17980832822156567</v>
      </c>
      <c r="W130" s="483">
        <f>H301*H176/$AC130</f>
        <v>1.2966857180725072E-2</v>
      </c>
      <c r="X130" s="483">
        <f>I301*I176/$AC130</f>
        <v>4.5582166146770292E-3</v>
      </c>
      <c r="Y130" s="483">
        <f>J301*J176/$AC130</f>
        <v>2.6495005502247558E-2</v>
      </c>
      <c r="Z130" s="483">
        <f>K301*K176/$AC130</f>
        <v>7.6262556750434189E-3</v>
      </c>
      <c r="AA130" s="483">
        <f>L301*L176/$AC130</f>
        <v>6.4279115580108386E-3</v>
      </c>
      <c r="AB130" s="669">
        <f>M301*M176/$AC130</f>
        <v>5.7378241172325794E-3</v>
      </c>
      <c r="AC130" s="114">
        <f>SUMPRODUCT($B301:$M301,$B176:$M176)</f>
        <v>446.40560265456185</v>
      </c>
      <c r="AD130" s="485">
        <f t="shared" si="51"/>
        <v>0.24362039886950218</v>
      </c>
      <c r="AE130" s="692">
        <f t="shared" si="52"/>
        <v>0.16464098630668253</v>
      </c>
      <c r="AF130" s="482">
        <v>2005</v>
      </c>
      <c r="AG130" s="576">
        <f t="shared" ref="AG130:AR135" si="58">B130-Q130</f>
        <v>-5.7606263342755801E-2</v>
      </c>
      <c r="AH130" s="484">
        <f t="shared" si="58"/>
        <v>-4.2656450539513814E-2</v>
      </c>
      <c r="AI130" s="484">
        <f t="shared" si="58"/>
        <v>-6.1159970015868564E-2</v>
      </c>
      <c r="AJ130" s="484">
        <f t="shared" si="58"/>
        <v>-7.1536210472871592E-2</v>
      </c>
      <c r="AK130" s="484">
        <f t="shared" si="58"/>
        <v>6.8316838805517976E-2</v>
      </c>
      <c r="AL130" s="484">
        <f t="shared" si="58"/>
        <v>2.2702809891030518E-2</v>
      </c>
      <c r="AM130" s="484">
        <f t="shared" si="58"/>
        <v>4.4546306043252257E-2</v>
      </c>
      <c r="AN130" s="484">
        <f t="shared" si="58"/>
        <v>4.9714768399498753E-2</v>
      </c>
      <c r="AO130" s="484">
        <f t="shared" si="58"/>
        <v>1.8462467158748795E-2</v>
      </c>
      <c r="AP130" s="484">
        <f t="shared" si="58"/>
        <v>8.5746353739642768E-3</v>
      </c>
      <c r="AQ130" s="154">
        <f t="shared" si="58"/>
        <v>6.9378235574205117E-3</v>
      </c>
      <c r="AR130" s="697">
        <f t="shared" si="58"/>
        <v>1.3702175882767419E-2</v>
      </c>
      <c r="AS130" s="600">
        <f t="shared" si="45"/>
        <v>2.4284835395568648E-2</v>
      </c>
      <c r="AT130" s="109">
        <v>1</v>
      </c>
    </row>
    <row r="131" spans="1:49" ht="11.25" customHeight="1">
      <c r="A131" s="482">
        <v>2006</v>
      </c>
      <c r="B131" s="567">
        <v>5.9101123595505616E-2</v>
      </c>
      <c r="C131" s="440">
        <v>0.13235955056179774</v>
      </c>
      <c r="D131" s="440">
        <v>5.303370786516854E-2</v>
      </c>
      <c r="E131" s="440">
        <v>4.7191011235955059E-2</v>
      </c>
      <c r="F131" s="440">
        <v>0.22786516853932584</v>
      </c>
      <c r="G131" s="440">
        <v>0.24292134831460674</v>
      </c>
      <c r="H131" s="440">
        <v>0.1348314606741573</v>
      </c>
      <c r="I131" s="440">
        <v>2.1123595505617977E-2</v>
      </c>
      <c r="J131" s="440">
        <v>4.2471910112359554E-2</v>
      </c>
      <c r="K131" s="440">
        <v>1.0786516853932584E-2</v>
      </c>
      <c r="L131" s="440">
        <v>1.2808988764044944E-2</v>
      </c>
      <c r="M131" s="682">
        <v>1.4382022471910113E-2</v>
      </c>
      <c r="N131" s="485">
        <f t="shared" si="57"/>
        <v>0.47932584269662926</v>
      </c>
      <c r="P131" s="482">
        <v>2006</v>
      </c>
      <c r="Q131" s="106">
        <f>B302*B177/$AC131</f>
        <v>5.8795426377485596E-2</v>
      </c>
      <c r="R131" s="483">
        <f>C302*C177/$AC131</f>
        <v>0.11414078488524683</v>
      </c>
      <c r="S131" s="483">
        <f>D302*D177/$AC131</f>
        <v>6.9621368254538851E-2</v>
      </c>
      <c r="T131" s="483">
        <f>E302*E177/$AC131</f>
        <v>7.8640313655119531E-2</v>
      </c>
      <c r="U131" s="483">
        <f>F302*F177/$AC131</f>
        <v>0.2016724088106352</v>
      </c>
      <c r="V131" s="483">
        <f>G302*G177/$AC131</f>
        <v>0.30693904449387305</v>
      </c>
      <c r="W131" s="483">
        <f>H302*H177/$AC131</f>
        <v>0.13435151082168567</v>
      </c>
      <c r="X131" s="483">
        <f>I302*I177/$AC131</f>
        <v>7.6672285189114051E-3</v>
      </c>
      <c r="Y131" s="483">
        <f>J302*J177/$AC131</f>
        <v>1.7178331171482303E-3</v>
      </c>
      <c r="Z131" s="483">
        <f>K302*K177/$AC131</f>
        <v>1.6288463187399332E-2</v>
      </c>
      <c r="AA131" s="483">
        <f>L302*L177/$AC131</f>
        <v>4.1615799601775723E-3</v>
      </c>
      <c r="AB131" s="669">
        <f>M302*M177/$AC131</f>
        <v>6.0040379177786762E-3</v>
      </c>
      <c r="AC131" s="114">
        <f>SUMPRODUCT($B302:$M302,$B177:$M177)</f>
        <v>407.05478353073806</v>
      </c>
      <c r="AD131" s="485">
        <f t="shared" si="51"/>
        <v>0.47712969801697391</v>
      </c>
      <c r="AE131" s="692">
        <f t="shared" si="52"/>
        <v>2.196144679655343E-3</v>
      </c>
      <c r="AF131" s="482">
        <v>2006</v>
      </c>
      <c r="AG131" s="576">
        <f t="shared" si="58"/>
        <v>3.0569721802001931E-4</v>
      </c>
      <c r="AH131" s="484">
        <f t="shared" si="58"/>
        <v>1.821876567655091E-2</v>
      </c>
      <c r="AI131" s="484">
        <f t="shared" si="58"/>
        <v>-1.6587660389370311E-2</v>
      </c>
      <c r="AJ131" s="484">
        <f t="shared" si="58"/>
        <v>-3.1449302419164472E-2</v>
      </c>
      <c r="AK131" s="484">
        <f t="shared" si="58"/>
        <v>2.6192759728690646E-2</v>
      </c>
      <c r="AL131" s="484">
        <f t="shared" si="58"/>
        <v>-6.4017696179266309E-2</v>
      </c>
      <c r="AM131" s="484">
        <f t="shared" si="58"/>
        <v>4.7994985247162836E-4</v>
      </c>
      <c r="AN131" s="484">
        <f t="shared" si="58"/>
        <v>1.3456366986706571E-2</v>
      </c>
      <c r="AO131" s="484">
        <f t="shared" si="58"/>
        <v>4.0754076995211323E-2</v>
      </c>
      <c r="AP131" s="484">
        <f t="shared" si="58"/>
        <v>-5.5019463334667479E-3</v>
      </c>
      <c r="AQ131" s="154">
        <f t="shared" si="58"/>
        <v>8.6474088038673708E-3</v>
      </c>
      <c r="AR131" s="697">
        <f t="shared" si="58"/>
        <v>8.3779845541314367E-3</v>
      </c>
      <c r="AS131" s="600">
        <f t="shared" si="45"/>
        <v>8.3979907334573323E-3</v>
      </c>
      <c r="AT131" s="109">
        <v>1</v>
      </c>
    </row>
    <row r="132" spans="1:49" ht="11.25" customHeight="1">
      <c r="A132" s="482">
        <v>2007</v>
      </c>
      <c r="B132" s="567">
        <v>1.5740285292670929E-2</v>
      </c>
      <c r="C132" s="440">
        <v>0.11559272011805213</v>
      </c>
      <c r="D132" s="440">
        <v>0.19773733398917856</v>
      </c>
      <c r="E132" s="440">
        <v>6.246925725528775E-2</v>
      </c>
      <c r="F132" s="440">
        <v>9.247417609444171E-2</v>
      </c>
      <c r="G132" s="440">
        <v>0.20216428922774227</v>
      </c>
      <c r="H132" s="440">
        <v>0.19872110181997049</v>
      </c>
      <c r="I132" s="440">
        <v>6.0993605509099852E-2</v>
      </c>
      <c r="J132" s="440">
        <v>2.9513034923757994E-2</v>
      </c>
      <c r="K132" s="440">
        <v>5.9026069847515983E-3</v>
      </c>
      <c r="L132" s="440">
        <v>9.8376783079193314E-3</v>
      </c>
      <c r="M132" s="683">
        <v>8.8539104771273979E-3</v>
      </c>
      <c r="N132" s="485">
        <f t="shared" si="57"/>
        <v>0.51598622725036891</v>
      </c>
      <c r="P132" s="482">
        <v>2007</v>
      </c>
      <c r="Q132" s="106">
        <f>B303*B178/$AC132</f>
        <v>6.1082722235785911E-2</v>
      </c>
      <c r="R132" s="483">
        <f>C303*C178/$AC132</f>
        <v>0.11449441047682238</v>
      </c>
      <c r="S132" s="483">
        <f>D303*D178/$AC132</f>
        <v>0.16550269986623709</v>
      </c>
      <c r="T132" s="483">
        <f>E303*E178/$AC132</f>
        <v>7.700771385313511E-2</v>
      </c>
      <c r="U132" s="483">
        <f>F303*F178/$AC132</f>
        <v>7.6661691941905044E-2</v>
      </c>
      <c r="V132" s="483">
        <f>G303*G178/$AC132</f>
        <v>0.15842722099491843</v>
      </c>
      <c r="W132" s="483">
        <f>H303*H178/$AC132</f>
        <v>0.2322857744987368</v>
      </c>
      <c r="X132" s="483">
        <f>I303*I178/$AC132</f>
        <v>9.5232232694147656E-2</v>
      </c>
      <c r="Y132" s="483">
        <f>J303*J178/$AC132</f>
        <v>4.8504652085600026E-3</v>
      </c>
      <c r="Z132" s="483">
        <f>K303*K178/$AC132</f>
        <v>7.5228977145513719E-5</v>
      </c>
      <c r="AA132" s="483">
        <f>L303*L178/$AC132</f>
        <v>9.4384379403719097E-3</v>
      </c>
      <c r="AB132" s="669">
        <f>M303*M178/$AC132</f>
        <v>4.941401312234338E-3</v>
      </c>
      <c r="AC132" s="114">
        <f>SUMPRODUCT($B303:$M303,$B178:$M178)</f>
        <v>364.24121026285832</v>
      </c>
      <c r="AD132" s="485">
        <f t="shared" si="51"/>
        <v>0.5052507616261146</v>
      </c>
      <c r="AE132" s="692">
        <f t="shared" si="52"/>
        <v>1.0735465624254314E-2</v>
      </c>
      <c r="AF132" s="482">
        <v>2007</v>
      </c>
      <c r="AG132" s="576">
        <f t="shared" si="58"/>
        <v>-4.5342436943114982E-2</v>
      </c>
      <c r="AH132" s="484">
        <f t="shared" si="58"/>
        <v>1.0983096412297555E-3</v>
      </c>
      <c r="AI132" s="484">
        <f t="shared" si="58"/>
        <v>3.2234634122941475E-2</v>
      </c>
      <c r="AJ132" s="484">
        <f t="shared" si="58"/>
        <v>-1.453845659784736E-2</v>
      </c>
      <c r="AK132" s="484">
        <f t="shared" si="58"/>
        <v>1.5812484152536666E-2</v>
      </c>
      <c r="AL132" s="484">
        <f t="shared" si="58"/>
        <v>4.3737068232823834E-2</v>
      </c>
      <c r="AM132" s="484">
        <f t="shared" si="58"/>
        <v>-3.3564672678766311E-2</v>
      </c>
      <c r="AN132" s="484">
        <f t="shared" si="58"/>
        <v>-3.4238627185047804E-2</v>
      </c>
      <c r="AO132" s="484">
        <f t="shared" si="58"/>
        <v>2.4662569715197993E-2</v>
      </c>
      <c r="AP132" s="484">
        <f t="shared" si="58"/>
        <v>5.8273780076060844E-3</v>
      </c>
      <c r="AQ132" s="484">
        <f t="shared" si="58"/>
        <v>3.9924036754742168E-4</v>
      </c>
      <c r="AR132" s="698">
        <f t="shared" si="58"/>
        <v>3.9125091648930599E-3</v>
      </c>
      <c r="AS132" s="600">
        <f t="shared" si="45"/>
        <v>8.4270856657590824E-3</v>
      </c>
      <c r="AT132" s="109">
        <v>1</v>
      </c>
    </row>
    <row r="133" spans="1:49" ht="11.25" customHeight="1">
      <c r="A133" s="482">
        <v>2008</v>
      </c>
      <c r="B133" s="568">
        <v>0.11180720301782392</v>
      </c>
      <c r="C133" s="441">
        <v>0.12568770557172451</v>
      </c>
      <c r="D133" s="441">
        <v>0.17186983751374604</v>
      </c>
      <c r="E133" s="441">
        <v>0.16474943798077518</v>
      </c>
      <c r="F133" s="441">
        <v>7.4436698140816202E-2</v>
      </c>
      <c r="G133" s="441">
        <v>5.3414501272676364E-2</v>
      </c>
      <c r="H133" s="441">
        <v>8.6252281314327467E-2</v>
      </c>
      <c r="I133" s="441">
        <v>0.12729615753231507</v>
      </c>
      <c r="J133" s="441">
        <v>5.3011615198098452E-2</v>
      </c>
      <c r="K133" s="441">
        <v>1.8831912353761367E-2</v>
      </c>
      <c r="L133" s="441">
        <v>6.4186977365358758E-3</v>
      </c>
      <c r="M133" s="684">
        <v>4.1377382057418309E-3</v>
      </c>
      <c r="N133" s="485">
        <f t="shared" si="57"/>
        <v>0.34936290361345634</v>
      </c>
      <c r="P133" s="482">
        <v>2008</v>
      </c>
      <c r="Q133" s="106">
        <f>B304*B179/$AC133</f>
        <v>0.10807011422187224</v>
      </c>
      <c r="R133" s="483">
        <f>C304*C179/$AC133</f>
        <v>0.11018506544715835</v>
      </c>
      <c r="S133" s="483">
        <f>D304*D179/$AC133</f>
        <v>0.15494865749270204</v>
      </c>
      <c r="T133" s="483">
        <f>E304*E179/$AC133</f>
        <v>0.16952760154786853</v>
      </c>
      <c r="U133" s="483">
        <f>F304*F179/$AC133</f>
        <v>7.0225144716656737E-2</v>
      </c>
      <c r="V133" s="483">
        <f>G304*G179/$AC133</f>
        <v>5.7776668677778656E-2</v>
      </c>
      <c r="W133" s="483">
        <f>H304*H179/$AC133</f>
        <v>0.10890329168986176</v>
      </c>
      <c r="X133" s="483">
        <f>I304*I179/$AC133</f>
        <v>0.15160456995717492</v>
      </c>
      <c r="Y133" s="483">
        <f>J304*J179/$AC133</f>
        <v>5.9681395383394731E-2</v>
      </c>
      <c r="Z133" s="483">
        <f>K304*K179/$AC133</f>
        <v>2.2472326787614976E-3</v>
      </c>
      <c r="AA133" s="483">
        <f>L304*L179/$AC133</f>
        <v>2.2713869144582339E-9</v>
      </c>
      <c r="AB133" s="669">
        <f>M304*M179/$AC133</f>
        <v>6.8302559153835679E-3</v>
      </c>
      <c r="AC133" s="114">
        <f>SUMPRODUCT($B304:$M304,$B179:$M179)</f>
        <v>353.82897810893877</v>
      </c>
      <c r="AD133" s="485">
        <f t="shared" si="51"/>
        <v>0.38704341657374203</v>
      </c>
      <c r="AE133" s="692">
        <f t="shared" si="52"/>
        <v>-3.7680512960285684E-2</v>
      </c>
      <c r="AF133" s="482">
        <v>2008</v>
      </c>
      <c r="AG133" s="576">
        <f t="shared" si="58"/>
        <v>3.7370887959516791E-3</v>
      </c>
      <c r="AH133" s="484">
        <f t="shared" si="58"/>
        <v>1.5502640124566161E-2</v>
      </c>
      <c r="AI133" s="484">
        <f t="shared" si="58"/>
        <v>1.6921180021044008E-2</v>
      </c>
      <c r="AJ133" s="484">
        <f t="shared" si="58"/>
        <v>-4.7781635670933464E-3</v>
      </c>
      <c r="AK133" s="484">
        <f t="shared" si="58"/>
        <v>4.2115534241594643E-3</v>
      </c>
      <c r="AL133" s="484">
        <f t="shared" si="58"/>
        <v>-4.3621674051022921E-3</v>
      </c>
      <c r="AM133" s="484">
        <f t="shared" si="58"/>
        <v>-2.2651010375534297E-2</v>
      </c>
      <c r="AN133" s="484">
        <f t="shared" si="58"/>
        <v>-2.4308412424859843E-2</v>
      </c>
      <c r="AO133" s="484">
        <f t="shared" si="58"/>
        <v>-6.6697801852962785E-3</v>
      </c>
      <c r="AP133" s="484">
        <f t="shared" si="58"/>
        <v>1.658467967499987E-2</v>
      </c>
      <c r="AQ133" s="484">
        <f t="shared" si="58"/>
        <v>6.4186954651489613E-3</v>
      </c>
      <c r="AR133" s="698">
        <f t="shared" si="58"/>
        <v>-2.692517709641737E-3</v>
      </c>
      <c r="AS133" s="600">
        <f t="shared" si="45"/>
        <v>2.072174606977025E-3</v>
      </c>
      <c r="AT133" s="109">
        <v>1</v>
      </c>
    </row>
    <row r="134" spans="1:49" ht="11.25" customHeight="1">
      <c r="A134" s="482">
        <v>2009</v>
      </c>
      <c r="B134" s="562">
        <v>0.17567800079052248</v>
      </c>
      <c r="C134" s="123">
        <v>0.20729985031057885</v>
      </c>
      <c r="D134" s="123">
        <v>0.15879379916331876</v>
      </c>
      <c r="E134" s="123">
        <v>0.13536384902337745</v>
      </c>
      <c r="F134" s="123">
        <v>0.10019372690006575</v>
      </c>
      <c r="G134" s="123">
        <v>4.28194074605232E-2</v>
      </c>
      <c r="H134" s="123">
        <v>3.7469270120291137E-2</v>
      </c>
      <c r="I134" s="123">
        <v>4.6889453846065965E-2</v>
      </c>
      <c r="J134" s="123">
        <v>5.6813396657972207E-2</v>
      </c>
      <c r="K134" s="123">
        <v>2.1668059099455995E-2</v>
      </c>
      <c r="L134" s="123">
        <v>6.2771200344905438E-3</v>
      </c>
      <c r="M134" s="676">
        <v>6.5536371210963449E-3</v>
      </c>
      <c r="N134" s="485">
        <f t="shared" si="57"/>
        <v>0.21849034433989542</v>
      </c>
      <c r="P134" s="482">
        <v>2009</v>
      </c>
      <c r="Q134" s="106">
        <f>B305*B180/$AC134</f>
        <v>0.17138602172087156</v>
      </c>
      <c r="R134" s="483">
        <f>C305*C180/$AC134</f>
        <v>0.1721060885399785</v>
      </c>
      <c r="S134" s="483">
        <f>D305*D180/$AC134</f>
        <v>0.13136076838883931</v>
      </c>
      <c r="T134" s="483">
        <f>E305*E180/$AC134</f>
        <v>0.1380518392152178</v>
      </c>
      <c r="U134" s="483">
        <f>F305*F180/$AC134</f>
        <v>0.13327052990142912</v>
      </c>
      <c r="V134" s="483">
        <f>G305*G180/$AC134</f>
        <v>4.5153136422857919E-2</v>
      </c>
      <c r="W134" s="483">
        <f>H305*H180/$AC134</f>
        <v>3.3485591071400797E-2</v>
      </c>
      <c r="X134" s="483">
        <f>I305*I180/$AC134</f>
        <v>6.0672062866936466E-2</v>
      </c>
      <c r="Y134" s="483">
        <f>J305*J180/$AC134</f>
        <v>8.0907305404796515E-2</v>
      </c>
      <c r="Z134" s="483">
        <f>K305*K180/$AC134</f>
        <v>3.0103463565851519E-2</v>
      </c>
      <c r="AA134" s="483">
        <f>L305*L180/$AC134</f>
        <v>9.4285883722341221E-4</v>
      </c>
      <c r="AB134" s="669">
        <f>M305*M180/$AC134</f>
        <v>2.5603340645971142E-3</v>
      </c>
      <c r="AC134" s="114">
        <f>SUMPRODUCT($B305:$M305,$B180:$M180)</f>
        <v>388.9790682667595</v>
      </c>
      <c r="AD134" s="485">
        <f t="shared" si="51"/>
        <v>0.25382475223366369</v>
      </c>
      <c r="AE134" s="692">
        <f t="shared" si="52"/>
        <v>-3.5334407893768266E-2</v>
      </c>
      <c r="AF134" s="482">
        <v>2009</v>
      </c>
      <c r="AG134" s="576">
        <f t="shared" si="58"/>
        <v>4.2919790696509252E-3</v>
      </c>
      <c r="AH134" s="484">
        <f t="shared" si="58"/>
        <v>3.5193761770600351E-2</v>
      </c>
      <c r="AI134" s="484">
        <f t="shared" si="58"/>
        <v>2.743303077447945E-2</v>
      </c>
      <c r="AJ134" s="484">
        <f t="shared" si="58"/>
        <v>-2.6879901918403504E-3</v>
      </c>
      <c r="AK134" s="484">
        <f t="shared" si="58"/>
        <v>-3.307680300136337E-2</v>
      </c>
      <c r="AL134" s="484">
        <f t="shared" si="58"/>
        <v>-2.333728962334719E-3</v>
      </c>
      <c r="AM134" s="484">
        <f t="shared" si="58"/>
        <v>3.9836790488903401E-3</v>
      </c>
      <c r="AN134" s="484">
        <f t="shared" si="58"/>
        <v>-1.3782609020870501E-2</v>
      </c>
      <c r="AO134" s="484">
        <f t="shared" si="58"/>
        <v>-2.4093908746824308E-2</v>
      </c>
      <c r="AP134" s="484">
        <f t="shared" si="58"/>
        <v>-8.4354044663955234E-3</v>
      </c>
      <c r="AQ134" s="484">
        <f t="shared" si="58"/>
        <v>5.3342611972671313E-3</v>
      </c>
      <c r="AR134" s="698">
        <f t="shared" si="58"/>
        <v>3.9933030564992308E-3</v>
      </c>
      <c r="AS134" s="600">
        <f>SUMSQ(AG134:AR134)</f>
        <v>4.0182429175261462E-3</v>
      </c>
      <c r="AT134" s="109">
        <v>1</v>
      </c>
    </row>
    <row r="135" spans="1:49" ht="11.25" customHeight="1">
      <c r="A135" s="482">
        <v>2010</v>
      </c>
      <c r="B135" s="569">
        <v>2.5035070860909815E-2</v>
      </c>
      <c r="C135" s="570">
        <v>0.24758805387349855</v>
      </c>
      <c r="D135" s="570">
        <v>0.21850224961533832</v>
      </c>
      <c r="E135" s="570">
        <v>0.13077777254128126</v>
      </c>
      <c r="F135" s="570">
        <v>0.11097999308366498</v>
      </c>
      <c r="G135" s="570">
        <v>8.5458960666076639E-2</v>
      </c>
      <c r="H135" s="570">
        <v>5.5420130551661485E-2</v>
      </c>
      <c r="I135" s="570">
        <v>4.5591658276321612E-2</v>
      </c>
      <c r="J135" s="570">
        <v>4.8727577142051379E-2</v>
      </c>
      <c r="K135" s="570">
        <v>2.2612714258144217E-2</v>
      </c>
      <c r="L135" s="570">
        <v>5.2205999993804146E-3</v>
      </c>
      <c r="M135" s="685">
        <v>4.0852191316711689E-3</v>
      </c>
      <c r="N135" s="485">
        <f t="shared" si="57"/>
        <v>0.26711686002530688</v>
      </c>
      <c r="P135" s="482">
        <v>2010</v>
      </c>
      <c r="Q135" s="106">
        <f>B306*B181/$AC135</f>
        <v>0.11226436111356838</v>
      </c>
      <c r="R135" s="483">
        <f>C306*C181/$AC135</f>
        <v>0.25950301062523978</v>
      </c>
      <c r="S135" s="483">
        <f>D306*D181/$AC135</f>
        <v>0.19609937500517702</v>
      </c>
      <c r="T135" s="483">
        <f>E306*E181/$AC135</f>
        <v>0.11378748409585378</v>
      </c>
      <c r="U135" s="483">
        <f>F306*F181/$AC135</f>
        <v>0.10592691462890838</v>
      </c>
      <c r="V135" s="483">
        <f>G306*G181/$AC135</f>
        <v>8.5038888796149806E-2</v>
      </c>
      <c r="W135" s="483">
        <f>H306*H181/$AC135</f>
        <v>2.5833297456589577E-2</v>
      </c>
      <c r="X135" s="483">
        <f>I306*I181/$AC135</f>
        <v>1.749143195816066E-2</v>
      </c>
      <c r="Y135" s="483">
        <f>J306*J181/$AC135</f>
        <v>3.0942925105021907E-2</v>
      </c>
      <c r="Z135" s="483">
        <f>K306*K181/$AC135</f>
        <v>3.8895993993933321E-2</v>
      </c>
      <c r="AA135" s="483">
        <f>L306*L181/$AC135</f>
        <v>1.3307434321908711E-2</v>
      </c>
      <c r="AB135" s="669">
        <f>M306*M181/$AC135</f>
        <v>9.0888289948875254E-4</v>
      </c>
      <c r="AC135" s="114">
        <f>SUMPRODUCT($B306:$M306,$B181:$M181)</f>
        <v>451.02548148420232</v>
      </c>
      <c r="AD135" s="485">
        <f t="shared" si="51"/>
        <v>0.21241885453125273</v>
      </c>
      <c r="AE135" s="692">
        <f t="shared" si="52"/>
        <v>5.4698005494054153E-2</v>
      </c>
      <c r="AF135" s="482">
        <v>2010</v>
      </c>
      <c r="AG135" s="576">
        <f t="shared" si="58"/>
        <v>-8.7229290252658576E-2</v>
      </c>
      <c r="AH135" s="484">
        <f t="shared" si="58"/>
        <v>-1.1914956751741229E-2</v>
      </c>
      <c r="AI135" s="484">
        <f t="shared" si="58"/>
        <v>2.24028746101613E-2</v>
      </c>
      <c r="AJ135" s="484">
        <f t="shared" si="58"/>
        <v>1.6990288445427479E-2</v>
      </c>
      <c r="AK135" s="484">
        <f t="shared" si="58"/>
        <v>5.053078454756596E-3</v>
      </c>
      <c r="AL135" s="484">
        <f t="shared" si="58"/>
        <v>4.2007186992683299E-4</v>
      </c>
      <c r="AM135" s="484">
        <f t="shared" si="58"/>
        <v>2.9586833095071909E-2</v>
      </c>
      <c r="AN135" s="484">
        <f t="shared" si="58"/>
        <v>2.8100226318160951E-2</v>
      </c>
      <c r="AO135" s="484">
        <f t="shared" si="58"/>
        <v>1.7784652037029471E-2</v>
      </c>
      <c r="AP135" s="484">
        <f t="shared" si="58"/>
        <v>-1.6283279735789104E-2</v>
      </c>
      <c r="AQ135" s="484">
        <f t="shared" si="58"/>
        <v>-8.0868343225282968E-3</v>
      </c>
      <c r="AR135" s="698">
        <f t="shared" si="58"/>
        <v>3.1763362321824166E-3</v>
      </c>
      <c r="AS135" s="600">
        <f>SUMSQ(AG135:AR135)</f>
        <v>1.0889112486861266E-2</v>
      </c>
      <c r="AT135" s="109">
        <v>1</v>
      </c>
    </row>
    <row r="136" spans="1:49" ht="11.25" customHeight="1">
      <c r="A136" s="482">
        <v>2011</v>
      </c>
      <c r="B136" s="569"/>
      <c r="C136" s="570"/>
      <c r="D136" s="570"/>
      <c r="E136" s="570"/>
      <c r="F136" s="570"/>
      <c r="G136" s="570"/>
      <c r="H136" s="570"/>
      <c r="I136" s="570"/>
      <c r="J136" s="570"/>
      <c r="K136" s="570"/>
      <c r="L136" s="570"/>
      <c r="M136" s="685"/>
      <c r="N136" s="485"/>
      <c r="P136" s="482">
        <v>2011</v>
      </c>
      <c r="Q136" s="106">
        <f>B307*B182/$AC136</f>
        <v>8.4326284404098534E-2</v>
      </c>
      <c r="R136" s="483">
        <f>C307*C182/$AC136</f>
        <v>0.17785644401843922</v>
      </c>
      <c r="S136" s="483">
        <f>D307*D182/$AC136</f>
        <v>0.30687328729572028</v>
      </c>
      <c r="T136" s="483">
        <f>E307*E182/$AC136</f>
        <v>0.17366506966967976</v>
      </c>
      <c r="U136" s="483">
        <f>F307*F182/$AC136</f>
        <v>8.4373402161424083E-2</v>
      </c>
      <c r="V136" s="483">
        <f>G307*G182/$AC136</f>
        <v>6.4468744045954124E-2</v>
      </c>
      <c r="W136" s="483">
        <f>H307*H182/$AC136</f>
        <v>4.9294146879269148E-2</v>
      </c>
      <c r="X136" s="483">
        <f>I307*I182/$AC136</f>
        <v>1.3017792404946577E-2</v>
      </c>
      <c r="Y136" s="483">
        <f>J307*J182/$AC136</f>
        <v>7.9515519467971418E-3</v>
      </c>
      <c r="Z136" s="483">
        <f>K307*K182/$AC136</f>
        <v>1.4696000322192239E-2</v>
      </c>
      <c r="AA136" s="483">
        <f>L307*L182/$AC136</f>
        <v>1.7859709820335135E-2</v>
      </c>
      <c r="AB136" s="669">
        <f>M307*M182/$AC136</f>
        <v>5.6175670311435187E-3</v>
      </c>
      <c r="AC136" s="114">
        <f>SUMPRODUCT($B307:$M307,$B182:$M182)</f>
        <v>497.84669767457922</v>
      </c>
      <c r="AD136" s="485">
        <f t="shared" si="51"/>
        <v>0.17290551245063787</v>
      </c>
      <c r="AE136" s="692">
        <f>N136-AD136</f>
        <v>-0.17290551245063787</v>
      </c>
      <c r="AF136" s="482">
        <v>2011</v>
      </c>
      <c r="AG136" s="576"/>
      <c r="AH136" s="484"/>
      <c r="AI136" s="484"/>
      <c r="AJ136" s="484"/>
      <c r="AK136" s="484"/>
      <c r="AL136" s="484"/>
      <c r="AM136" s="484"/>
      <c r="AN136" s="484"/>
      <c r="AO136" s="484"/>
      <c r="AP136" s="484"/>
      <c r="AQ136" s="484"/>
      <c r="AR136" s="698"/>
      <c r="AS136" s="600"/>
      <c r="AT136" s="109"/>
      <c r="AU136" s="494"/>
    </row>
    <row r="137" spans="1:49" s="477" customFormat="1" ht="11.25" customHeight="1">
      <c r="A137" s="482">
        <v>2012</v>
      </c>
      <c r="B137" s="686">
        <v>6.3824285865826539E-3</v>
      </c>
      <c r="C137" s="599">
        <v>8.8153911643540472E-2</v>
      </c>
      <c r="D137" s="599">
        <v>0.19334927879219049</v>
      </c>
      <c r="E137" s="599">
        <v>0.37846122185680803</v>
      </c>
      <c r="F137" s="599">
        <v>0.16240801319871906</v>
      </c>
      <c r="G137" s="599">
        <v>7.8776467046937651E-2</v>
      </c>
      <c r="H137" s="599">
        <v>4.4638732290965197E-2</v>
      </c>
      <c r="I137" s="599">
        <v>2.3129438293720897E-2</v>
      </c>
      <c r="J137" s="599">
        <v>1.1433804890073921E-2</v>
      </c>
      <c r="K137" s="599">
        <v>8.0080255830216884E-3</v>
      </c>
      <c r="L137" s="599">
        <v>3.6548916208507033E-3</v>
      </c>
      <c r="M137" s="687">
        <v>1.1455615689923641E-3</v>
      </c>
      <c r="N137" s="485">
        <f t="shared" si="57"/>
        <v>0.17078692129456241</v>
      </c>
      <c r="P137" s="482">
        <v>2012</v>
      </c>
      <c r="Q137" s="106">
        <f>B308*B183/$AC137</f>
        <v>4.489118899647368E-2</v>
      </c>
      <c r="R137" s="483">
        <f>C308*C183/$AC137</f>
        <v>0.14025869542844385</v>
      </c>
      <c r="S137" s="483">
        <f>D308*D183/$AC137</f>
        <v>0.22229398423116226</v>
      </c>
      <c r="T137" s="483">
        <f>E308*E183/$AC137</f>
        <v>0.29134608105424886</v>
      </c>
      <c r="U137" s="483">
        <f>F308*F183/$AC137</f>
        <v>0.14612429100256605</v>
      </c>
      <c r="V137" s="483">
        <f>G308*G183/$AC137</f>
        <v>5.7968932860970566E-2</v>
      </c>
      <c r="W137" s="483">
        <f>H308*H183/$AC137</f>
        <v>4.1263095476050955E-2</v>
      </c>
      <c r="X137" s="483">
        <f>I308*I183/$AC137</f>
        <v>2.9809899852657185E-2</v>
      </c>
      <c r="Y137" s="483">
        <f>J308*J183/$AC137</f>
        <v>6.7959685876049034E-3</v>
      </c>
      <c r="Z137" s="483">
        <f>K308*K183/$AC137</f>
        <v>3.7534237677005556E-3</v>
      </c>
      <c r="AA137" s="483">
        <f>L308*L183/$AC137</f>
        <v>7.2419575890345948E-3</v>
      </c>
      <c r="AB137" s="669">
        <f>M308*M183/$AC137</f>
        <v>8.2524811530867472E-3</v>
      </c>
      <c r="AC137" s="114">
        <f>SUMPRODUCT($B308:$M308,$B183:$M183)</f>
        <v>525.03754503121763</v>
      </c>
      <c r="AD137" s="485">
        <f t="shared" si="51"/>
        <v>0.1550857592871055</v>
      </c>
      <c r="AE137" s="692">
        <f>N137-AD137</f>
        <v>1.5701162007456915E-2</v>
      </c>
      <c r="AF137" s="482">
        <v>2012</v>
      </c>
      <c r="AG137" s="576">
        <f t="shared" ref="AG137:AR140" si="59">B137-Q137</f>
        <v>-3.8508760409891027E-2</v>
      </c>
      <c r="AH137" s="484">
        <f t="shared" si="59"/>
        <v>-5.210478378490338E-2</v>
      </c>
      <c r="AI137" s="484">
        <f t="shared" si="59"/>
        <v>-2.8944705438971763E-2</v>
      </c>
      <c r="AJ137" s="484">
        <f t="shared" si="59"/>
        <v>8.7115140802559166E-2</v>
      </c>
      <c r="AK137" s="484">
        <f t="shared" si="59"/>
        <v>1.6283722196153011E-2</v>
      </c>
      <c r="AL137" s="484">
        <f t="shared" si="59"/>
        <v>2.0807534185967085E-2</v>
      </c>
      <c r="AM137" s="484">
        <f t="shared" si="59"/>
        <v>3.3756368149142416E-3</v>
      </c>
      <c r="AN137" s="484">
        <f t="shared" si="59"/>
        <v>-6.6804615589362883E-3</v>
      </c>
      <c r="AO137" s="484">
        <f t="shared" si="59"/>
        <v>4.6378363024690179E-3</v>
      </c>
      <c r="AP137" s="484">
        <f t="shared" si="59"/>
        <v>4.2546018153211329E-3</v>
      </c>
      <c r="AQ137" s="484">
        <f t="shared" si="59"/>
        <v>-3.5870659681838915E-3</v>
      </c>
      <c r="AR137" s="698">
        <f t="shared" si="59"/>
        <v>-7.1069195840943828E-3</v>
      </c>
      <c r="AS137" s="600">
        <f>SUMSQ(AG137:AR137)</f>
        <v>1.3481799939995098E-2</v>
      </c>
      <c r="AT137" s="109">
        <v>1</v>
      </c>
      <c r="AU137" s="494"/>
    </row>
    <row r="138" spans="1:49" s="493" customFormat="1" ht="11.25" customHeight="1">
      <c r="A138" s="482">
        <v>2013</v>
      </c>
      <c r="B138" s="688">
        <v>1.9907033025463642E-3</v>
      </c>
      <c r="C138" s="632">
        <v>2.5425774087165766E-2</v>
      </c>
      <c r="D138" s="632">
        <v>0.11724006566125186</v>
      </c>
      <c r="E138" s="632">
        <v>0.27220788518590733</v>
      </c>
      <c r="F138" s="632">
        <v>0.29318528064973987</v>
      </c>
      <c r="G138" s="632">
        <v>0.13984671366445575</v>
      </c>
      <c r="H138" s="632">
        <v>7.2285616607463743E-2</v>
      </c>
      <c r="I138" s="632">
        <v>3.8355046504776315E-2</v>
      </c>
      <c r="J138" s="632">
        <v>2.0009250157166394E-2</v>
      </c>
      <c r="K138" s="632">
        <v>1.091136277045715E-2</v>
      </c>
      <c r="L138" s="632">
        <v>5.3926217087550306E-3</v>
      </c>
      <c r="M138" s="689">
        <v>3.1496797003144907E-3</v>
      </c>
      <c r="N138" s="485">
        <f>SUM(G138:M138)</f>
        <v>0.28995029111338888</v>
      </c>
      <c r="P138" s="482">
        <v>2013</v>
      </c>
      <c r="Q138" s="106">
        <f>B309*B184/$AC138</f>
        <v>3.6631322171421773E-2</v>
      </c>
      <c r="R138" s="483">
        <f>C309*C184/$AC138</f>
        <v>7.8898380265968002E-2</v>
      </c>
      <c r="S138" s="483">
        <f>D309*D184/$AC138</f>
        <v>0.18642720285179457</v>
      </c>
      <c r="T138" s="483">
        <f>E309*E184/$AC138</f>
        <v>0.22652666096531929</v>
      </c>
      <c r="U138" s="483">
        <f>F309*F184/$AC138</f>
        <v>0.26627804841717112</v>
      </c>
      <c r="V138" s="483">
        <f>G309*G184/$AC138</f>
        <v>0.11116307618136638</v>
      </c>
      <c r="W138" s="483">
        <f>H309*H184/$AC138</f>
        <v>3.9960458754067042E-2</v>
      </c>
      <c r="X138" s="483">
        <f>I309*I184/$AC138</f>
        <v>2.683206482041273E-2</v>
      </c>
      <c r="Y138" s="483">
        <f>J309*J184/$AC138</f>
        <v>1.8214056882018936E-2</v>
      </c>
      <c r="Z138" s="483">
        <f>K309*K184/$AC138</f>
        <v>3.5767876640626466E-3</v>
      </c>
      <c r="AA138" s="483">
        <f>L309*L184/$AC138</f>
        <v>1.8746330725277302E-3</v>
      </c>
      <c r="AB138" s="669">
        <f>M309*M184/$AC138</f>
        <v>3.6173079538697568E-3</v>
      </c>
      <c r="AC138" s="114">
        <f>SUMPRODUCT($B309:$M309,$B184:$M184)</f>
        <v>526.15473921544287</v>
      </c>
      <c r="AD138" s="485">
        <f t="shared" si="51"/>
        <v>0.2052383853283252</v>
      </c>
      <c r="AE138" s="692">
        <f>N138-AD138</f>
        <v>8.4711905785063685E-2</v>
      </c>
      <c r="AF138" s="482">
        <v>2013</v>
      </c>
      <c r="AG138" s="576">
        <f t="shared" si="59"/>
        <v>-3.4640618868875407E-2</v>
      </c>
      <c r="AH138" s="484">
        <f t="shared" si="59"/>
        <v>-5.3472606178802236E-2</v>
      </c>
      <c r="AI138" s="484">
        <f t="shared" si="59"/>
        <v>-6.9187137190542702E-2</v>
      </c>
      <c r="AJ138" s="484">
        <f t="shared" si="59"/>
        <v>4.568122422058804E-2</v>
      </c>
      <c r="AK138" s="484">
        <f t="shared" si="59"/>
        <v>2.6907232232568745E-2</v>
      </c>
      <c r="AL138" s="484">
        <f t="shared" si="59"/>
        <v>2.8683637483089372E-2</v>
      </c>
      <c r="AM138" s="484">
        <f t="shared" si="59"/>
        <v>3.2325157853396701E-2</v>
      </c>
      <c r="AN138" s="484">
        <f t="shared" si="59"/>
        <v>1.1522981684363585E-2</v>
      </c>
      <c r="AO138" s="484">
        <f t="shared" si="59"/>
        <v>1.7951932751474574E-3</v>
      </c>
      <c r="AP138" s="484">
        <f t="shared" si="59"/>
        <v>7.3345751063945037E-3</v>
      </c>
      <c r="AQ138" s="484">
        <f t="shared" si="59"/>
        <v>3.5179886362273005E-3</v>
      </c>
      <c r="AR138" s="698">
        <f t="shared" si="59"/>
        <v>-4.6762825355526607E-4</v>
      </c>
      <c r="AS138" s="600">
        <f>SUMSQ(AG138:AR138)</f>
        <v>1.3726985060025077E-2</v>
      </c>
      <c r="AT138" s="109">
        <v>1</v>
      </c>
      <c r="AU138" s="494"/>
    </row>
    <row r="139" spans="1:49" ht="11.25" customHeight="1">
      <c r="A139" s="482">
        <v>2014</v>
      </c>
      <c r="B139" s="688">
        <v>1.1156519911251663E-2</v>
      </c>
      <c r="C139" s="632">
        <v>6.1892878106837877E-2</v>
      </c>
      <c r="D139" s="632">
        <v>0.11094040969931593</v>
      </c>
      <c r="E139" s="632">
        <v>0.25408606648059029</v>
      </c>
      <c r="F139" s="632">
        <v>0.2700968092255106</v>
      </c>
      <c r="G139" s="632">
        <v>0.17419409585507839</v>
      </c>
      <c r="H139" s="632">
        <v>6.6498091646427157E-2</v>
      </c>
      <c r="I139" s="632">
        <v>3.0049649585858065E-2</v>
      </c>
      <c r="J139" s="632">
        <v>1.0290978138857265E-2</v>
      </c>
      <c r="K139" s="632">
        <v>6.2600401359023802E-3</v>
      </c>
      <c r="L139" s="632">
        <v>1.6915789147366799E-3</v>
      </c>
      <c r="M139" s="689">
        <v>2.8428822996339974E-3</v>
      </c>
      <c r="N139" s="485">
        <f>SUM(G139:M139)</f>
        <v>0.29182731657649391</v>
      </c>
      <c r="P139" s="482">
        <v>2014</v>
      </c>
      <c r="Q139" s="106">
        <f>B310*B185/$AC139</f>
        <v>4.6049499635530067E-2</v>
      </c>
      <c r="R139" s="483">
        <f>C310*C185/$AC139</f>
        <v>6.9913933562352065E-2</v>
      </c>
      <c r="S139" s="483">
        <f>D310*D185/$AC139</f>
        <v>0.11325873571969865</v>
      </c>
      <c r="T139" s="483">
        <f>E310*E185/$AC139</f>
        <v>0.20338350985859283</v>
      </c>
      <c r="U139" s="483">
        <f>F310*F185/$AC139</f>
        <v>0.21733607891470091</v>
      </c>
      <c r="V139" s="483">
        <f>G310*G185/$AC139</f>
        <v>0.21361775751403261</v>
      </c>
      <c r="W139" s="483">
        <f>H310*H185/$AC139</f>
        <v>8.1469078163314695E-2</v>
      </c>
      <c r="X139" s="483">
        <f>I310*I185/$AC139</f>
        <v>2.5446916625976368E-2</v>
      </c>
      <c r="Y139" s="483">
        <f>J310*J185/$AC139</f>
        <v>1.634016860387175E-2</v>
      </c>
      <c r="Z139" s="483">
        <f>K310*K185/$AC139</f>
        <v>1.090802243245311E-2</v>
      </c>
      <c r="AA139" s="483">
        <f>L310*L185/$AC139</f>
        <v>1.4763803517951082E-3</v>
      </c>
      <c r="AB139" s="669">
        <f>M310*M185/$AC139</f>
        <v>7.9991861768191977E-4</v>
      </c>
      <c r="AC139" s="114">
        <f>SUMPRODUCT($B310:$M310,$B185:$M185)</f>
        <v>484.07139361078623</v>
      </c>
      <c r="AD139" s="485">
        <f t="shared" si="51"/>
        <v>0.35005824230912552</v>
      </c>
      <c r="AE139" s="692">
        <f>N139-AD139</f>
        <v>-5.8230925732631611E-2</v>
      </c>
      <c r="AF139" s="482">
        <v>2014</v>
      </c>
      <c r="AG139" s="576">
        <f t="shared" si="59"/>
        <v>-3.4892979724278406E-2</v>
      </c>
      <c r="AH139" s="484">
        <f t="shared" si="59"/>
        <v>-8.021055455514188E-3</v>
      </c>
      <c r="AI139" s="484">
        <f t="shared" si="59"/>
        <v>-2.3183260203827188E-3</v>
      </c>
      <c r="AJ139" s="484">
        <f t="shared" si="59"/>
        <v>5.0702556621997463E-2</v>
      </c>
      <c r="AK139" s="484">
        <f t="shared" si="59"/>
        <v>5.2760730310809689E-2</v>
      </c>
      <c r="AL139" s="484">
        <f t="shared" si="59"/>
        <v>-3.9423661658954223E-2</v>
      </c>
      <c r="AM139" s="484">
        <f t="shared" si="59"/>
        <v>-1.4970986516887538E-2</v>
      </c>
      <c r="AN139" s="484">
        <f t="shared" si="59"/>
        <v>4.6027329598816967E-3</v>
      </c>
      <c r="AO139" s="484">
        <f t="shared" si="59"/>
        <v>-6.0491904650144847E-3</v>
      </c>
      <c r="AP139" s="484">
        <f t="shared" si="59"/>
        <v>-4.6479822965507294E-3</v>
      </c>
      <c r="AQ139" s="484">
        <f t="shared" si="59"/>
        <v>2.1519856294157161E-4</v>
      </c>
      <c r="AR139" s="698">
        <f t="shared" si="59"/>
        <v>2.0429636819520778E-3</v>
      </c>
      <c r="AS139" s="600">
        <f>SUMSQ(AG139:AR139)</f>
        <v>8.5036330534598182E-3</v>
      </c>
      <c r="AT139" s="109">
        <v>1</v>
      </c>
      <c r="AU139" s="494"/>
      <c r="AV139" s="494"/>
      <c r="AW139" s="494"/>
    </row>
    <row r="140" spans="1:49" s="493" customFormat="1" ht="11.25" customHeight="1">
      <c r="A140" s="479">
        <v>2015</v>
      </c>
      <c r="B140" s="724">
        <v>8.9379600420609884E-3</v>
      </c>
      <c r="C140" s="725">
        <v>4.1184717840869259E-2</v>
      </c>
      <c r="D140" s="725">
        <v>0.13389414651244305</v>
      </c>
      <c r="E140" s="725">
        <v>0.11987381703470032</v>
      </c>
      <c r="F140" s="725">
        <v>0.23922187171398529</v>
      </c>
      <c r="G140" s="725">
        <v>0.21118121275849983</v>
      </c>
      <c r="H140" s="725">
        <v>0.17490361023484052</v>
      </c>
      <c r="I140" s="725">
        <v>4.9772169645986679E-2</v>
      </c>
      <c r="J140" s="725">
        <v>1.5247108307045216E-2</v>
      </c>
      <c r="K140" s="725">
        <v>3.3298282509638976E-3</v>
      </c>
      <c r="L140" s="725">
        <v>1.4020329477742728E-3</v>
      </c>
      <c r="M140" s="726">
        <v>1.0515247108307047E-3</v>
      </c>
      <c r="N140" s="486">
        <f>SUM(G140:M140)</f>
        <v>0.45688748685594111</v>
      </c>
      <c r="P140" s="479">
        <v>2015</v>
      </c>
      <c r="Q140" s="670">
        <f>B311*B186/$AC140</f>
        <v>5.1223964498779195E-2</v>
      </c>
      <c r="R140" s="539">
        <f>C311*C186/$AC140</f>
        <v>8.981320218077575E-2</v>
      </c>
      <c r="S140" s="539">
        <f>D311*D186/$AC140</f>
        <v>0.10198060197861619</v>
      </c>
      <c r="T140" s="539">
        <f>E311*E186/$AC140</f>
        <v>0.1241512684944558</v>
      </c>
      <c r="U140" s="539">
        <f>F311*F186/$AC140</f>
        <v>0.19810026781607856</v>
      </c>
      <c r="V140" s="539">
        <f>G311*G186/$AC140</f>
        <v>0.17530325959459764</v>
      </c>
      <c r="W140" s="539">
        <f>H311*H186/$AC140</f>
        <v>0.1654243542306007</v>
      </c>
      <c r="X140" s="539">
        <f>I311*I186/$AC140</f>
        <v>5.9126658354999397E-2</v>
      </c>
      <c r="Y140" s="539">
        <f>J311*J186/$AC140</f>
        <v>1.7143942886719433E-2</v>
      </c>
      <c r="Z140" s="539">
        <f>K311*K186/$AC140</f>
        <v>1.0469305253174103E-2</v>
      </c>
      <c r="AA140" s="539">
        <f>L311*L186/$AC140</f>
        <v>6.4548835284458858E-3</v>
      </c>
      <c r="AB140" s="671">
        <f>M311*M186/$AC140</f>
        <v>8.0829118275730857E-4</v>
      </c>
      <c r="AC140" s="690">
        <f>SUMPRODUCT($B311:$M311,$B186:$M186)</f>
        <v>435.17220273299409</v>
      </c>
      <c r="AD140" s="486">
        <f t="shared" si="51"/>
        <v>0.43473069503129447</v>
      </c>
      <c r="AE140" s="693">
        <f>N140-AD140</f>
        <v>2.2156791824646638E-2</v>
      </c>
      <c r="AF140" s="479">
        <v>2015</v>
      </c>
      <c r="AG140" s="699">
        <f t="shared" si="59"/>
        <v>-4.2286004456718207E-2</v>
      </c>
      <c r="AH140" s="472">
        <f t="shared" si="59"/>
        <v>-4.8628484339906491E-2</v>
      </c>
      <c r="AI140" s="472">
        <f t="shared" si="59"/>
        <v>3.191354453382686E-2</v>
      </c>
      <c r="AJ140" s="472">
        <f t="shared" si="59"/>
        <v>-4.2774514597554852E-3</v>
      </c>
      <c r="AK140" s="472">
        <f t="shared" si="59"/>
        <v>4.1121603897906728E-2</v>
      </c>
      <c r="AL140" s="472">
        <f t="shared" si="59"/>
        <v>3.5877953163902188E-2</v>
      </c>
      <c r="AM140" s="472">
        <f t="shared" si="59"/>
        <v>9.4792560042398222E-3</v>
      </c>
      <c r="AN140" s="472">
        <f t="shared" si="59"/>
        <v>-9.3544887090127177E-3</v>
      </c>
      <c r="AO140" s="472">
        <f t="shared" si="59"/>
        <v>-1.8968345796742166E-3</v>
      </c>
      <c r="AP140" s="472">
        <f t="shared" si="59"/>
        <v>-7.139477002210206E-3</v>
      </c>
      <c r="AQ140" s="472">
        <f t="shared" si="59"/>
        <v>-5.0528505806716126E-3</v>
      </c>
      <c r="AR140" s="700">
        <f t="shared" si="59"/>
        <v>2.4323352807339613E-4</v>
      </c>
      <c r="AS140" s="601">
        <f>SUMSQ(AG140:AR140)</f>
        <v>8.4253437364092063E-3</v>
      </c>
      <c r="AT140" s="130">
        <v>1</v>
      </c>
      <c r="AU140" s="494"/>
      <c r="AV140" s="494"/>
      <c r="AW140" s="494"/>
    </row>
    <row r="141" spans="1:49" ht="11.25" customHeight="1" thickBot="1">
      <c r="A141" s="482">
        <v>2016</v>
      </c>
      <c r="B141" s="719"/>
      <c r="C141" s="719"/>
      <c r="D141" s="719"/>
      <c r="E141" s="719"/>
      <c r="F141" s="719"/>
      <c r="G141" s="719"/>
      <c r="H141" s="719"/>
      <c r="I141" s="719"/>
      <c r="J141" s="719"/>
      <c r="K141" s="719"/>
      <c r="L141" s="719"/>
      <c r="M141" s="719"/>
      <c r="N141" s="5"/>
      <c r="P141" s="34"/>
      <c r="Q141" s="719">
        <f>Q140</f>
        <v>5.1223964498779195E-2</v>
      </c>
      <c r="R141" s="719">
        <f>R140+Q141</f>
        <v>0.14103716667955496</v>
      </c>
      <c r="S141" s="719">
        <f t="shared" ref="S141:AB141" si="60">S140+R141</f>
        <v>0.24301776865817115</v>
      </c>
      <c r="T141" s="719">
        <f t="shared" si="60"/>
        <v>0.36716903715262694</v>
      </c>
      <c r="U141" s="719">
        <f t="shared" si="60"/>
        <v>0.56526930496870553</v>
      </c>
      <c r="V141" s="719">
        <f t="shared" si="60"/>
        <v>0.74057256456330323</v>
      </c>
      <c r="W141" s="719">
        <f t="shared" si="60"/>
        <v>0.90599691879390387</v>
      </c>
      <c r="X141" s="719">
        <f t="shared" si="60"/>
        <v>0.96512357714890329</v>
      </c>
      <c r="Y141" s="719">
        <f t="shared" si="60"/>
        <v>0.98226752003562268</v>
      </c>
      <c r="Z141" s="719">
        <f t="shared" si="60"/>
        <v>0.99273682528879681</v>
      </c>
      <c r="AA141" s="719">
        <f t="shared" si="60"/>
        <v>0.99919170881724273</v>
      </c>
      <c r="AB141" s="719">
        <f t="shared" si="60"/>
        <v>1</v>
      </c>
      <c r="AC141" s="59"/>
      <c r="AD141" s="64"/>
      <c r="AE141" s="64"/>
      <c r="AF141" s="34"/>
      <c r="AG141" s="165"/>
      <c r="AH141" s="165"/>
      <c r="AI141" s="165"/>
      <c r="AJ141" s="165"/>
      <c r="AK141" s="165"/>
      <c r="AL141" s="165"/>
      <c r="AM141" s="165"/>
      <c r="AN141" s="119"/>
      <c r="AO141" s="119"/>
      <c r="AP141" s="119"/>
      <c r="AQ141" s="57"/>
      <c r="AR141" s="57"/>
      <c r="AS141" s="161"/>
      <c r="AT141" s="5"/>
    </row>
    <row r="142" spans="1:49" ht="11.25" customHeight="1">
      <c r="A142" s="723">
        <v>2017</v>
      </c>
      <c r="B142" s="727">
        <f>[6]TotalRunBiomass!$Y$17</f>
        <v>6.4299971485600238E-2</v>
      </c>
      <c r="C142" s="727">
        <f>[6]TotalRunBiomass!$Y$18</f>
        <v>2.4807527801539782E-2</v>
      </c>
      <c r="D142" s="727">
        <f>[6]TotalRunBiomass!$Y$19</f>
        <v>6.6010835471913318E-2</v>
      </c>
      <c r="E142" s="727">
        <f>[6]TotalRunBiomass!$Y$20</f>
        <v>0.13929284288565727</v>
      </c>
      <c r="F142" s="727">
        <f>[6]TotalRunBiomass!$Y$21</f>
        <v>0.2023096663815227</v>
      </c>
      <c r="G142" s="728">
        <f>[6]TotalRunBiomass!$Y$22</f>
        <v>0.17864271457085829</v>
      </c>
      <c r="H142" s="728">
        <f>[6]TotalRunBiomass!$Y$23</f>
        <v>0.16794981465640149</v>
      </c>
      <c r="I142" s="728">
        <f>[6]TotalRunBiomass!$Y$24</f>
        <v>9.865982321072142E-2</v>
      </c>
      <c r="J142" s="728">
        <f>[6]TotalRunBiomass!$Y$25</f>
        <v>4.1203307670373543E-2</v>
      </c>
      <c r="K142" s="728">
        <f>[6]TotalRunBiomass!$Y$26</f>
        <v>9.9800399201596824E-3</v>
      </c>
      <c r="L142" s="728">
        <f>[6]TotalRunBiomass!$Y$27</f>
        <v>4.5623039635015687E-3</v>
      </c>
      <c r="M142" s="728">
        <f>SUM([6]TotalRunBiomass!$Y$28:$Y$32)</f>
        <v>2.2811519817507839E-3</v>
      </c>
      <c r="N142" s="5"/>
      <c r="O142" s="5"/>
      <c r="P142" s="59"/>
      <c r="Q142" s="59"/>
      <c r="R142" s="71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124"/>
      <c r="AE142" s="124"/>
      <c r="AH142" s="125"/>
      <c r="AI142" s="5" t="s">
        <v>12</v>
      </c>
      <c r="AP142" s="59"/>
      <c r="AQ142" s="166" t="s">
        <v>29</v>
      </c>
      <c r="AR142" s="167"/>
      <c r="AS142" s="168">
        <f>SUM(AS105:AS140)</f>
        <v>0.47695078344714747</v>
      </c>
      <c r="AT142" s="169">
        <f>SUMPRODUCT(AS105:AS140,AT105:AT140)</f>
        <v>0.47695078344714747</v>
      </c>
    </row>
    <row r="143" spans="1:49" ht="11.25" customHeight="1" thickBot="1">
      <c r="A143" s="170"/>
      <c r="F143" s="5"/>
      <c r="G143" s="5"/>
      <c r="H143" s="171"/>
      <c r="I143" s="171"/>
      <c r="J143" s="171"/>
      <c r="K143" s="171"/>
      <c r="L143" s="171"/>
      <c r="M143" s="5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72"/>
      <c r="AC143" s="64"/>
      <c r="AD143" s="64"/>
      <c r="AE143" s="64"/>
      <c r="AP143" s="59"/>
      <c r="AQ143" s="173" t="s">
        <v>30</v>
      </c>
      <c r="AR143" s="174"/>
      <c r="AS143" s="175">
        <f>COUNT(AG105:AR140)</f>
        <v>333</v>
      </c>
      <c r="AT143" s="176"/>
    </row>
    <row r="144" spans="1:49" ht="11.25" customHeight="1">
      <c r="A144" s="5"/>
      <c r="F144" s="177"/>
      <c r="M144" s="135"/>
      <c r="N144" s="5"/>
      <c r="O144" s="5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85"/>
    </row>
    <row r="145" spans="1:45" ht="11.25" customHeight="1">
      <c r="A145" s="26" t="s">
        <v>36</v>
      </c>
      <c r="B145" s="19"/>
      <c r="C145" s="19"/>
      <c r="D145" s="19"/>
      <c r="E145" s="19"/>
      <c r="F145" s="19"/>
      <c r="G145" s="19"/>
      <c r="H145" s="19"/>
      <c r="I145" s="19"/>
      <c r="J145" s="454" t="s">
        <v>123</v>
      </c>
      <c r="K145" s="19"/>
      <c r="L145" s="19"/>
      <c r="M145" s="178"/>
      <c r="P145" s="24" t="s">
        <v>37</v>
      </c>
      <c r="Q145" s="19"/>
      <c r="R145" s="19"/>
      <c r="S145" s="19"/>
      <c r="T145" s="19"/>
      <c r="U145" s="19"/>
      <c r="V145" s="19"/>
      <c r="W145" s="19"/>
      <c r="X145" s="19"/>
      <c r="Y145" s="26" t="s">
        <v>38</v>
      </c>
      <c r="Z145" s="179"/>
      <c r="AA145" s="179"/>
      <c r="AB145" s="180"/>
      <c r="AC145" s="181"/>
      <c r="AD145" s="141"/>
      <c r="AE145" s="141"/>
      <c r="AI145" s="24" t="s">
        <v>39</v>
      </c>
      <c r="AJ145" s="19"/>
      <c r="AK145" s="19"/>
      <c r="AL145" s="19"/>
      <c r="AM145" s="19"/>
      <c r="AN145" s="20"/>
    </row>
    <row r="146" spans="1:45" ht="11.25" customHeight="1">
      <c r="B146" s="26"/>
      <c r="C146" s="19"/>
      <c r="D146" s="19"/>
      <c r="E146" s="27" t="s">
        <v>9</v>
      </c>
      <c r="F146" s="19"/>
      <c r="G146" s="19"/>
      <c r="H146" s="19"/>
      <c r="I146" s="28"/>
      <c r="J146" s="19"/>
      <c r="K146" s="19"/>
      <c r="L146" s="182"/>
      <c r="M146" s="20"/>
      <c r="Q146" s="26"/>
      <c r="R146" s="19"/>
      <c r="S146" s="19"/>
      <c r="T146" s="27" t="s">
        <v>9</v>
      </c>
      <c r="U146" s="19"/>
      <c r="V146" s="19"/>
      <c r="W146" s="19"/>
      <c r="X146" s="28"/>
      <c r="Y146" s="19"/>
      <c r="Z146" s="19"/>
      <c r="AA146" s="182"/>
      <c r="AB146" s="20"/>
      <c r="AC146" s="183" t="s">
        <v>18</v>
      </c>
      <c r="AD146" s="184"/>
      <c r="AJ146" s="185" t="s">
        <v>40</v>
      </c>
      <c r="AK146" s="184"/>
      <c r="AL146" s="186"/>
      <c r="AM146" s="186" t="s">
        <v>41</v>
      </c>
      <c r="AN146" s="186" t="s">
        <v>42</v>
      </c>
      <c r="AO146" s="105"/>
      <c r="AS146" s="2" t="s">
        <v>43</v>
      </c>
    </row>
    <row r="147" spans="1:45" ht="11.25" customHeight="1">
      <c r="A147" s="423" t="s">
        <v>10</v>
      </c>
      <c r="B147" s="89">
        <f>first_age</f>
        <v>4</v>
      </c>
      <c r="C147" s="89">
        <f t="shared" ref="C147:M147" si="61">B147+1</f>
        <v>5</v>
      </c>
      <c r="D147" s="89">
        <f t="shared" si="61"/>
        <v>6</v>
      </c>
      <c r="E147" s="89">
        <f t="shared" si="61"/>
        <v>7</v>
      </c>
      <c r="F147" s="89">
        <f t="shared" si="61"/>
        <v>8</v>
      </c>
      <c r="G147" s="89">
        <f t="shared" si="61"/>
        <v>9</v>
      </c>
      <c r="H147" s="89">
        <f t="shared" si="61"/>
        <v>10</v>
      </c>
      <c r="I147" s="89">
        <f t="shared" si="61"/>
        <v>11</v>
      </c>
      <c r="J147" s="89">
        <f t="shared" si="61"/>
        <v>12</v>
      </c>
      <c r="K147" s="89">
        <f t="shared" si="61"/>
        <v>13</v>
      </c>
      <c r="L147" s="89">
        <f t="shared" si="61"/>
        <v>14</v>
      </c>
      <c r="M147" s="89">
        <f t="shared" si="61"/>
        <v>15</v>
      </c>
      <c r="P147" s="423" t="s">
        <v>10</v>
      </c>
      <c r="Q147" s="89">
        <f>first_age</f>
        <v>4</v>
      </c>
      <c r="R147" s="89">
        <f t="shared" ref="R147:AB147" si="62">Q147+1</f>
        <v>5</v>
      </c>
      <c r="S147" s="89">
        <f t="shared" si="62"/>
        <v>6</v>
      </c>
      <c r="T147" s="89">
        <f t="shared" si="62"/>
        <v>7</v>
      </c>
      <c r="U147" s="89">
        <f t="shared" si="62"/>
        <v>8</v>
      </c>
      <c r="V147" s="89">
        <f t="shared" si="62"/>
        <v>9</v>
      </c>
      <c r="W147" s="89">
        <f t="shared" si="62"/>
        <v>10</v>
      </c>
      <c r="X147" s="89">
        <f t="shared" si="62"/>
        <v>11</v>
      </c>
      <c r="Y147" s="89">
        <f t="shared" si="62"/>
        <v>12</v>
      </c>
      <c r="Z147" s="89">
        <f t="shared" si="62"/>
        <v>13</v>
      </c>
      <c r="AA147" s="89">
        <f t="shared" si="62"/>
        <v>14</v>
      </c>
      <c r="AB147" s="89">
        <f t="shared" si="62"/>
        <v>15</v>
      </c>
      <c r="AC147" s="455" t="s">
        <v>25</v>
      </c>
      <c r="AD147" s="455" t="s">
        <v>44</v>
      </c>
      <c r="AE147" s="32"/>
      <c r="AI147" s="33" t="s">
        <v>10</v>
      </c>
      <c r="AJ147" s="588" t="s">
        <v>45</v>
      </c>
      <c r="AK147" s="88" t="s">
        <v>46</v>
      </c>
      <c r="AL147" s="494" t="s">
        <v>47</v>
      </c>
      <c r="AM147" s="494" t="s">
        <v>47</v>
      </c>
      <c r="AN147" s="494" t="s">
        <v>47</v>
      </c>
      <c r="AO147" s="109" t="s">
        <v>27</v>
      </c>
    </row>
    <row r="148" spans="1:45" ht="11.25" customHeight="1">
      <c r="A148" s="578">
        <f>A149-1</f>
        <v>1977</v>
      </c>
      <c r="B148" s="580">
        <f>C149/B$268</f>
        <v>254.6308037591059</v>
      </c>
      <c r="C148" s="188">
        <f>D149/C$268</f>
        <v>77.983143402443062</v>
      </c>
      <c r="D148" s="188">
        <f>E149/D$268</f>
        <v>1.2538673670889349</v>
      </c>
      <c r="E148" s="188">
        <f>F149/E$268</f>
        <v>7.6541257038383668</v>
      </c>
      <c r="F148" s="188">
        <f>G149/F$268</f>
        <v>11.294566871320717</v>
      </c>
      <c r="G148" s="189"/>
      <c r="H148" s="190" t="s">
        <v>48</v>
      </c>
      <c r="I148" s="188"/>
      <c r="J148" s="188"/>
      <c r="K148" s="189"/>
      <c r="L148" s="189"/>
      <c r="M148" s="191"/>
      <c r="P148" s="708">
        <f>P149-1</f>
        <v>1977</v>
      </c>
      <c r="Q148" s="582">
        <f>Q11*B274*B148</f>
        <v>12074.196101102545</v>
      </c>
      <c r="R148" s="583">
        <f>R11*C274*C148</f>
        <v>6728.6355681092846</v>
      </c>
      <c r="S148" s="583">
        <f>S11*D274*D148</f>
        <v>173.78358727338002</v>
      </c>
      <c r="T148" s="583">
        <f>T11*E274*E148</f>
        <v>1524.564185548353</v>
      </c>
      <c r="U148" s="583">
        <f>U11*F274*F148</f>
        <v>3857.2181622547791</v>
      </c>
      <c r="V148" s="188"/>
      <c r="W148" s="190" t="s">
        <v>48</v>
      </c>
      <c r="X148" s="188"/>
      <c r="Y148" s="192"/>
      <c r="Z148" s="192"/>
      <c r="AA148" s="192"/>
      <c r="AB148" s="584"/>
      <c r="AC148" s="213">
        <f t="shared" ref="AC148:AC186" si="63">SUM(Q148:AB148)</f>
        <v>24358.397604288344</v>
      </c>
      <c r="AD148" s="193">
        <f t="shared" ref="AD148:AD179" si="64">AC148*2204.62/2000</f>
        <v>26850.505263183084</v>
      </c>
      <c r="AE148" s="32"/>
      <c r="AG148" s="2" t="s">
        <v>49</v>
      </c>
      <c r="AI148" s="708">
        <f>AI149-1</f>
        <v>1977</v>
      </c>
      <c r="AJ148" s="223"/>
      <c r="AK148" s="186"/>
      <c r="AL148" s="186"/>
      <c r="AM148" s="186"/>
      <c r="AN148" s="224"/>
      <c r="AO148" s="105"/>
    </row>
    <row r="149" spans="1:45" ht="11.25" customHeight="1">
      <c r="A149" s="579">
        <f>first_year</f>
        <v>1978</v>
      </c>
      <c r="B149" s="581">
        <f t="shared" ref="B149:G149" si="65">+B215</f>
        <v>272.08617766800631</v>
      </c>
      <c r="C149" s="194">
        <f t="shared" si="65"/>
        <v>216.43618319524001</v>
      </c>
      <c r="D149" s="194">
        <f t="shared" si="65"/>
        <v>66.285671892076607</v>
      </c>
      <c r="E149" s="194">
        <f t="shared" si="65"/>
        <v>1.0657872620255946</v>
      </c>
      <c r="F149" s="194">
        <f t="shared" si="65"/>
        <v>6.5060068482626114</v>
      </c>
      <c r="G149" s="195">
        <f t="shared" si="65"/>
        <v>9.6003818406226085</v>
      </c>
      <c r="H149" s="196"/>
      <c r="I149" s="196"/>
      <c r="J149" s="194"/>
      <c r="K149" s="194"/>
      <c r="L149" s="194"/>
      <c r="M149" s="197"/>
      <c r="N149" s="198"/>
      <c r="O149" s="198"/>
      <c r="P149" s="92">
        <f>first_year</f>
        <v>1978</v>
      </c>
      <c r="Q149" s="458">
        <f>Q11*B274*B149</f>
        <v>12901.902743357508</v>
      </c>
      <c r="R149" s="496">
        <f>R11*C274*C149</f>
        <v>18674.807617817638</v>
      </c>
      <c r="S149" s="496">
        <f>S11*D274*D149</f>
        <v>9187.0656726440484</v>
      </c>
      <c r="T149" s="496">
        <f>T11*E274*E149</f>
        <v>212.28565507919859</v>
      </c>
      <c r="U149" s="496">
        <f>U11*F274*F149</f>
        <v>2221.87252196401</v>
      </c>
      <c r="V149" s="199">
        <f>V11*G274*G149</f>
        <v>3606.5109421974144</v>
      </c>
      <c r="W149" s="63"/>
      <c r="X149" s="63"/>
      <c r="Y149" s="63"/>
      <c r="Z149" s="63"/>
      <c r="AA149" s="63"/>
      <c r="AB149" s="585"/>
      <c r="AC149" s="496">
        <f t="shared" si="63"/>
        <v>46804.445153059816</v>
      </c>
      <c r="AD149" s="200">
        <f t="shared" si="64"/>
        <v>51593.007936669368</v>
      </c>
      <c r="AE149" s="63"/>
      <c r="AG149" s="470">
        <v>7734</v>
      </c>
      <c r="AI149" s="634">
        <f>first_year</f>
        <v>1978</v>
      </c>
      <c r="AJ149" s="589">
        <v>190292</v>
      </c>
      <c r="AK149" s="497">
        <v>172630</v>
      </c>
      <c r="AL149" s="496"/>
      <c r="AM149" s="494"/>
      <c r="AN149" s="162"/>
      <c r="AO149" s="109"/>
    </row>
    <row r="150" spans="1:45" ht="11.25" customHeight="1">
      <c r="A150" s="473">
        <f t="shared" ref="A150:A168" si="66">A149+1</f>
        <v>1979</v>
      </c>
      <c r="B150" s="581">
        <f t="shared" ref="B150:B181" si="67">+B216</f>
        <v>20.696955526564786</v>
      </c>
      <c r="C150" s="194">
        <f>B$268*(B149-(B11+Q57*$AD57))</f>
        <v>225.60456178557951</v>
      </c>
      <c r="D150" s="194">
        <f>C$268*(C149-(C11+R57*$AD57))</f>
        <v>171.97890748726124</v>
      </c>
      <c r="E150" s="194">
        <f>D$268*(D149-(D11+S57*$AD57))</f>
        <v>49.507053866877179</v>
      </c>
      <c r="F150" s="194">
        <f>E$268*(E149-(E11+T57*$AD57))</f>
        <v>0.74445536527008893</v>
      </c>
      <c r="G150" s="195">
        <f>F$268*(F149-(F11+U57*$AD57))+G$268*(G149-(G11+V57*$AD57))</f>
        <v>11.014284417659198</v>
      </c>
      <c r="H150" s="196"/>
      <c r="I150" s="196"/>
      <c r="J150" s="194"/>
      <c r="K150" s="194"/>
      <c r="L150" s="194"/>
      <c r="M150" s="197"/>
      <c r="N150" s="198"/>
      <c r="O150" s="198"/>
      <c r="P150" s="498">
        <f t="shared" ref="P150:P168" si="68">P149+1</f>
        <v>1979</v>
      </c>
      <c r="Q150" s="458">
        <f>Q12*B275*B150</f>
        <v>981.41739347435339</v>
      </c>
      <c r="R150" s="496">
        <f>R12*C275*C150</f>
        <v>19465.884709523041</v>
      </c>
      <c r="S150" s="496">
        <f>S12*D275*D150</f>
        <v>23835.94330864595</v>
      </c>
      <c r="T150" s="496">
        <f>T12*E275*E150</f>
        <v>9860.9147769292886</v>
      </c>
      <c r="U150" s="496">
        <f>U12*F275*F150</f>
        <v>254.23965244733853</v>
      </c>
      <c r="V150" s="199">
        <f>V12*G275*G150</f>
        <v>4137.6622234627939</v>
      </c>
      <c r="W150" s="63"/>
      <c r="X150" s="63"/>
      <c r="Y150" s="63"/>
      <c r="Z150" s="63"/>
      <c r="AA150" s="63"/>
      <c r="AB150" s="585"/>
      <c r="AC150" s="496">
        <f t="shared" si="63"/>
        <v>58536.062064482765</v>
      </c>
      <c r="AD150" s="200">
        <f t="shared" si="64"/>
        <v>64524.886574299991</v>
      </c>
      <c r="AE150" s="63"/>
      <c r="AG150" s="470">
        <v>11558</v>
      </c>
      <c r="AI150" s="716">
        <f t="shared" ref="AI150:AI168" si="69">AI149+1</f>
        <v>1979</v>
      </c>
      <c r="AJ150" s="589">
        <v>239022</v>
      </c>
      <c r="AK150" s="497">
        <v>216837</v>
      </c>
      <c r="AL150" s="496"/>
      <c r="AM150" s="494"/>
      <c r="AN150" s="162"/>
      <c r="AO150" s="109"/>
    </row>
    <row r="151" spans="1:45" ht="11.25" customHeight="1">
      <c r="A151" s="473">
        <f t="shared" si="66"/>
        <v>1980</v>
      </c>
      <c r="B151" s="581">
        <f t="shared" si="67"/>
        <v>51.02349731186488</v>
      </c>
      <c r="C151" s="194">
        <f>B$268*(B150-(B12+Q58*$AD58))</f>
        <v>15.882956001191969</v>
      </c>
      <c r="D151" s="194">
        <f>C$268*(C150-(C12+R58*$AD58))</f>
        <v>175.7573746901769</v>
      </c>
      <c r="E151" s="194">
        <f>D$268*(D150-(D12+S58*$AD58))</f>
        <v>132.78132850794944</v>
      </c>
      <c r="F151" s="194">
        <f>E$268*(E150-(E12+T58*$AD58))</f>
        <v>37.426834144796608</v>
      </c>
      <c r="G151" s="194">
        <f>F$268*(F150-(F12+U58*$AD58))</f>
        <v>0.46682103088822396</v>
      </c>
      <c r="H151" s="195">
        <f>G$268*(G150-(G12+V58*$AD58))</f>
        <v>7.8870617246277268</v>
      </c>
      <c r="I151" s="196"/>
      <c r="J151" s="196"/>
      <c r="K151" s="194"/>
      <c r="L151" s="194"/>
      <c r="M151" s="197"/>
      <c r="N151" s="198"/>
      <c r="O151" s="198"/>
      <c r="P151" s="498">
        <f t="shared" si="68"/>
        <v>1980</v>
      </c>
      <c r="Q151" s="458">
        <f>Q13*B276*B151</f>
        <v>2419.4547682862731</v>
      </c>
      <c r="R151" s="496">
        <f>R13*C276*C151</f>
        <v>1370.4323526023322</v>
      </c>
      <c r="S151" s="496">
        <f>S13*D276*D151</f>
        <v>24359.631540872608</v>
      </c>
      <c r="T151" s="496">
        <f>T13*E276*E151</f>
        <v>26447.652649764354</v>
      </c>
      <c r="U151" s="496">
        <f>U13*F276*F151</f>
        <v>12781.673353546299</v>
      </c>
      <c r="V151" s="496">
        <f>V13*G276*G151</f>
        <v>175.36752015658072</v>
      </c>
      <c r="W151" s="199">
        <f>W13*H276*H151</f>
        <v>3187.8918548033048</v>
      </c>
      <c r="X151" s="63"/>
      <c r="Y151" s="63"/>
      <c r="Z151" s="63"/>
      <c r="AA151" s="63"/>
      <c r="AB151" s="585"/>
      <c r="AC151" s="496">
        <f t="shared" si="63"/>
        <v>70742.104040031758</v>
      </c>
      <c r="AD151" s="200">
        <f t="shared" si="64"/>
        <v>77979.7287043674</v>
      </c>
      <c r="AE151" s="63"/>
      <c r="AG151" s="470">
        <v>24516</v>
      </c>
      <c r="AI151" s="716">
        <f t="shared" si="69"/>
        <v>1980</v>
      </c>
      <c r="AJ151" s="589">
        <v>68686</v>
      </c>
      <c r="AK151" s="497">
        <v>62311</v>
      </c>
      <c r="AL151" s="496"/>
      <c r="AM151" s="494"/>
      <c r="AN151" s="162"/>
      <c r="AO151" s="735">
        <f>[8]rankings!$S2</f>
        <v>0.25</v>
      </c>
      <c r="AP151" s="738"/>
      <c r="AQ151" s="738"/>
    </row>
    <row r="152" spans="1:45" ht="11.25" customHeight="1">
      <c r="A152" s="473">
        <f t="shared" si="66"/>
        <v>1981</v>
      </c>
      <c r="B152" s="581">
        <f t="shared" si="67"/>
        <v>861.80696201581225</v>
      </c>
      <c r="C152" s="194">
        <f>B$268*(B151-(B13+Q59*$AD59))</f>
        <v>42.210125440803495</v>
      </c>
      <c r="D152" s="194">
        <f>C$268*(C151-(C13+R59*$AD59))</f>
        <v>12.488946606079805</v>
      </c>
      <c r="E152" s="194">
        <f>D$268*(D151-(D13+S59*$AD59))</f>
        <v>125.38460376048293</v>
      </c>
      <c r="F152" s="194">
        <f>E$268*(E151-(E13+T59*$AD59))</f>
        <v>92.257780531894838</v>
      </c>
      <c r="G152" s="194">
        <f>F$268*(F151-(F13+U59*$AD59))</f>
        <v>25.958428292399674</v>
      </c>
      <c r="H152" s="194">
        <f>G$268*(G151-(G13+V59*$AD59))</f>
        <v>0.26626328960475848</v>
      </c>
      <c r="I152" s="195">
        <f>H$268*(H151-(H13+W59*$AD59))</f>
        <v>4.8556833254872087</v>
      </c>
      <c r="J152" s="196"/>
      <c r="K152" s="196"/>
      <c r="L152" s="194"/>
      <c r="M152" s="197"/>
      <c r="N152" s="198"/>
      <c r="O152" s="198"/>
      <c r="P152" s="498">
        <f t="shared" si="68"/>
        <v>1981</v>
      </c>
      <c r="Q152" s="458">
        <f>Q14*B277*B152</f>
        <v>47560.712858215578</v>
      </c>
      <c r="R152" s="496">
        <f>R14*C277*C152</f>
        <v>3625.6398869783857</v>
      </c>
      <c r="S152" s="496">
        <f>S14*D277*D152</f>
        <v>1730.9437979147215</v>
      </c>
      <c r="T152" s="496">
        <f>T14*E277*E152</f>
        <v>26327.964922477473</v>
      </c>
      <c r="U152" s="496">
        <f>U14*F277*F152</f>
        <v>32105.707625099403</v>
      </c>
      <c r="V152" s="496">
        <f>V14*G277*G152</f>
        <v>9085.4499023398857</v>
      </c>
      <c r="W152" s="496">
        <f>W14*H277*H152</f>
        <v>107.62164692000147</v>
      </c>
      <c r="X152" s="199">
        <f>X14*I277*I152</f>
        <v>2117.0779299124229</v>
      </c>
      <c r="Y152" s="63"/>
      <c r="Z152" s="63"/>
      <c r="AA152" s="63"/>
      <c r="AB152" s="585"/>
      <c r="AC152" s="496">
        <f t="shared" si="63"/>
        <v>122661.11856985786</v>
      </c>
      <c r="AD152" s="200">
        <f t="shared" si="64"/>
        <v>135210.57761074</v>
      </c>
      <c r="AE152" s="63"/>
      <c r="AG152" s="470">
        <v>12489</v>
      </c>
      <c r="AI152" s="716">
        <f t="shared" si="69"/>
        <v>1981</v>
      </c>
      <c r="AJ152" s="589">
        <v>158650</v>
      </c>
      <c r="AK152" s="497">
        <v>143925</v>
      </c>
      <c r="AL152" s="496">
        <f>(AK152-AC152)</f>
        <v>21263.881430142137</v>
      </c>
      <c r="AM152" s="395">
        <f>LN(AK152)-LN(AC152)</f>
        <v>0.15986691113398876</v>
      </c>
      <c r="AN152" s="162">
        <f>AM152^2</f>
        <v>2.555742927552266E-2</v>
      </c>
      <c r="AO152" s="735">
        <f>[8]rankings!$S3</f>
        <v>0.75</v>
      </c>
      <c r="AP152" s="738"/>
      <c r="AQ152" s="738"/>
    </row>
    <row r="153" spans="1:45" ht="11.25" customHeight="1">
      <c r="A153" s="579">
        <f t="shared" si="66"/>
        <v>1982</v>
      </c>
      <c r="B153" s="581">
        <f t="shared" si="67"/>
        <v>735.47622563505183</v>
      </c>
      <c r="C153" s="194">
        <f>B$268*(B152-(B14+Q60*$AD60))</f>
        <v>718.64575373787534</v>
      </c>
      <c r="D153" s="194">
        <f>C$268*(C152-(C14+R60*$AD60))</f>
        <v>33.84280234598846</v>
      </c>
      <c r="E153" s="194">
        <f>D$268*(D152-(D14+S60*$AD60))</f>
        <v>9.8110120795657814</v>
      </c>
      <c r="F153" s="194">
        <f>E$268*(E152-(E14+T60*$AD60))</f>
        <v>96.715913766394507</v>
      </c>
      <c r="G153" s="194">
        <f>F$268*(F152-(F14+U60*$AD60))</f>
        <v>71.133630942566114</v>
      </c>
      <c r="H153" s="194">
        <f>G$268*(G152-(G14+V60*$AD60))</f>
        <v>18.802731531818683</v>
      </c>
      <c r="I153" s="194">
        <f>H$268*(H152-(H14+W60*$AD60))</f>
        <v>0.17635671070872935</v>
      </c>
      <c r="J153" s="195">
        <f>I$268*(I152-(I14+X60*$AD60))</f>
        <v>3.0779938241097389</v>
      </c>
      <c r="K153" s="196"/>
      <c r="L153" s="196"/>
      <c r="M153" s="197"/>
      <c r="N153" s="198"/>
      <c r="O153" s="198"/>
      <c r="P153" s="92">
        <f t="shared" si="68"/>
        <v>1982</v>
      </c>
      <c r="Q153" s="458">
        <f>Q15*B278*B153</f>
        <v>41471.240100383315</v>
      </c>
      <c r="R153" s="496">
        <f>R15*C278*C153</f>
        <v>71270.604523608388</v>
      </c>
      <c r="S153" s="496">
        <f>S15*D278*D153</f>
        <v>4971.3406315934399</v>
      </c>
      <c r="T153" s="496">
        <f>T15*E278*E153</f>
        <v>1859.2665928883155</v>
      </c>
      <c r="U153" s="496">
        <f>U15*F278*F153</f>
        <v>33850.56981823808</v>
      </c>
      <c r="V153" s="496">
        <f>V15*G278*G153</f>
        <v>27670.982436658218</v>
      </c>
      <c r="W153" s="496">
        <f>W15*H278*H153</f>
        <v>7727.922659577479</v>
      </c>
      <c r="X153" s="496">
        <f>X15*I278*I153</f>
        <v>75.403915273412224</v>
      </c>
      <c r="Y153" s="199">
        <f>Y15*J278*J153</f>
        <v>1477.4370355726746</v>
      </c>
      <c r="Z153" s="63"/>
      <c r="AA153" s="63"/>
      <c r="AB153" s="585"/>
      <c r="AC153" s="496">
        <f t="shared" si="63"/>
        <v>190374.76771379335</v>
      </c>
      <c r="AD153" s="200">
        <f t="shared" si="64"/>
        <v>209852.01019859154</v>
      </c>
      <c r="AE153" s="63"/>
      <c r="AG153" s="470">
        <v>21821</v>
      </c>
      <c r="AI153" s="634">
        <f t="shared" si="69"/>
        <v>1982</v>
      </c>
      <c r="AJ153" s="589">
        <v>97902</v>
      </c>
      <c r="AK153" s="497">
        <v>88816</v>
      </c>
      <c r="AL153" s="496"/>
      <c r="AM153" s="395"/>
      <c r="AN153" s="162"/>
      <c r="AO153" s="735">
        <f>[8]rankings!$S4</f>
        <v>0.25</v>
      </c>
      <c r="AP153" s="738"/>
      <c r="AQ153" s="738"/>
    </row>
    <row r="154" spans="1:45" ht="11.25" customHeight="1">
      <c r="A154" s="579">
        <f t="shared" si="66"/>
        <v>1983</v>
      </c>
      <c r="B154" s="581">
        <f t="shared" si="67"/>
        <v>281.97039517594453</v>
      </c>
      <c r="C154" s="194">
        <f>B$268*(B153-(B15+Q61*$AD61))</f>
        <v>612.69064277093605</v>
      </c>
      <c r="D154" s="194">
        <f>C$268*(C153-(C15+R61*$AD61))</f>
        <v>576.36218399012591</v>
      </c>
      <c r="E154" s="194">
        <f>D$268*(D153-(D15+S61*$AD61))</f>
        <v>26.177471282223209</v>
      </c>
      <c r="F154" s="194">
        <f>E$268*(E153-(E15+T61*$AD61))</f>
        <v>7.6986856925293212</v>
      </c>
      <c r="G154" s="194">
        <f>F$268*(F153-(F15+U61*$AD61))</f>
        <v>74.533562314485494</v>
      </c>
      <c r="H154" s="194">
        <f>G$268*(G153-(G15+V61*$AD61))</f>
        <v>51.599404939201804</v>
      </c>
      <c r="I154" s="194">
        <f>H$268*(H153-(H15+W61*$AD61))</f>
        <v>12.730262394739901</v>
      </c>
      <c r="J154" s="194">
        <f>I$268*(I153-(I15+X61*$AD61))</f>
        <v>0.11283469704089404</v>
      </c>
      <c r="K154" s="195">
        <f>J$268*(J153-(J15+Y61*$AD61))</f>
        <v>1.6415644040666753</v>
      </c>
      <c r="L154" s="196"/>
      <c r="M154" s="203"/>
      <c r="N154" s="198"/>
      <c r="O154" s="198"/>
      <c r="P154" s="92">
        <f t="shared" si="68"/>
        <v>1983</v>
      </c>
      <c r="Q154" s="458">
        <f>Q16*B279*B154</f>
        <v>15053.72747332705</v>
      </c>
      <c r="R154" s="496">
        <f>R16*C279*C154</f>
        <v>60254.192621028938</v>
      </c>
      <c r="S154" s="496">
        <f>S16*D279*D154</f>
        <v>89956.307670585476</v>
      </c>
      <c r="T154" s="496">
        <f>T16*E279*E154</f>
        <v>5669.5357009179324</v>
      </c>
      <c r="U154" s="496">
        <f>U16*F279*F154</f>
        <v>2756.1294779254972</v>
      </c>
      <c r="V154" s="496">
        <f>V16*G279*G154</f>
        <v>29217.156427278314</v>
      </c>
      <c r="W154" s="496">
        <f>W16*H279*H154</f>
        <v>21878.147694221567</v>
      </c>
      <c r="X154" s="496">
        <f>X16*I279*I154</f>
        <v>5690.4272904487361</v>
      </c>
      <c r="Y154" s="496">
        <f>Y16*J279*J154</f>
        <v>58.786877158305792</v>
      </c>
      <c r="Z154" s="199">
        <f>Z16*K279*K154</f>
        <v>757.54340373347031</v>
      </c>
      <c r="AA154" s="63"/>
      <c r="AB154" s="585"/>
      <c r="AC154" s="496">
        <f t="shared" si="63"/>
        <v>231291.95463662533</v>
      </c>
      <c r="AD154" s="200">
        <f t="shared" si="64"/>
        <v>254955.43451549846</v>
      </c>
      <c r="AE154" s="63"/>
      <c r="AG154" s="470">
        <v>26786</v>
      </c>
      <c r="AI154" s="634">
        <f t="shared" si="69"/>
        <v>1983</v>
      </c>
      <c r="AJ154" s="589">
        <v>233700</v>
      </c>
      <c r="AK154" s="497">
        <f>+AJ154/1.1023</f>
        <v>212011.24920620519</v>
      </c>
      <c r="AL154" s="496">
        <f>(AK154-AC154)</f>
        <v>-19280.705430420145</v>
      </c>
      <c r="AM154" s="395">
        <f>LN(AK154)-LN(AC154)</f>
        <v>-8.7041449834925899E-2</v>
      </c>
      <c r="AN154" s="162">
        <f>AM154^2</f>
        <v>7.5762139893659217E-3</v>
      </c>
      <c r="AO154" s="735">
        <f>[8]rankings!$S5</f>
        <v>0.75</v>
      </c>
      <c r="AP154" s="738"/>
      <c r="AQ154" s="738"/>
    </row>
    <row r="155" spans="1:45" ht="11.25" customHeight="1">
      <c r="A155" s="579">
        <f t="shared" si="66"/>
        <v>1984</v>
      </c>
      <c r="B155" s="581">
        <f t="shared" si="67"/>
        <v>67.99276328907635</v>
      </c>
      <c r="C155" s="194">
        <f>B$268*(B154-(B16+Q62*$AD62))</f>
        <v>237.01157963873243</v>
      </c>
      <c r="D155" s="194">
        <f>C$268*(C154-(C16+R62*$AD62))</f>
        <v>500.11608975715228</v>
      </c>
      <c r="E155" s="194">
        <f>D$268*(D154-(D16+S62*$AD62))</f>
        <v>456.37597639207655</v>
      </c>
      <c r="F155" s="194">
        <f>E$268*(E154-(E16+T62*$AD62))</f>
        <v>20.33213383966077</v>
      </c>
      <c r="G155" s="194">
        <f>F$268*(F154-(F16+U62*$AD62))</f>
        <v>5.8043321744537568</v>
      </c>
      <c r="H155" s="194">
        <f>G$268*(G154-(G16+V62*$AD62))</f>
        <v>53.525412642813109</v>
      </c>
      <c r="I155" s="194">
        <f>H$268*(H154-(H16+W62*$AD62))</f>
        <v>35.27544958882627</v>
      </c>
      <c r="J155" s="194">
        <f>I$268*(I154-(I16+X62*$AD62))</f>
        <v>8.1264730284626907</v>
      </c>
      <c r="K155" s="194">
        <f>J$268*(J154-(J16+Y62*$AD62))</f>
        <v>6.7293057973616247E-2</v>
      </c>
      <c r="L155" s="195">
        <f>K$268*(K154-(K16+Z62*$AD62))</f>
        <v>0.89358239294238839</v>
      </c>
      <c r="M155" s="203"/>
      <c r="N155" s="198"/>
      <c r="O155" s="198"/>
      <c r="P155" s="92">
        <f t="shared" si="68"/>
        <v>1984</v>
      </c>
      <c r="Q155" s="458">
        <f>Q17*B280*B155</f>
        <v>3018.1786401442114</v>
      </c>
      <c r="R155" s="496">
        <f>R17*C280*C155</f>
        <v>20948.206482549318</v>
      </c>
      <c r="S155" s="496">
        <f>S17*D280*D155</f>
        <v>72924.404460780177</v>
      </c>
      <c r="T155" s="496">
        <f>T17*E280*E155</f>
        <v>94623.363614468049</v>
      </c>
      <c r="U155" s="496">
        <f>U17*F280*F155</f>
        <v>6994.2540408433051</v>
      </c>
      <c r="V155" s="496">
        <f>V17*G280*G155</f>
        <v>2269.4938802114189</v>
      </c>
      <c r="W155" s="496">
        <f>W17*H280*H155</f>
        <v>22373.622484695879</v>
      </c>
      <c r="X155" s="496">
        <f>X17*I280*I155</f>
        <v>15203.718772784123</v>
      </c>
      <c r="Y155" s="496">
        <f>Y17*J280*J155</f>
        <v>3624.4069706943601</v>
      </c>
      <c r="Z155" s="496">
        <f>Z17*K280*K155</f>
        <v>31.054165196735376</v>
      </c>
      <c r="AA155" s="199">
        <f>AA17*L280*L155</f>
        <v>423.00161921557373</v>
      </c>
      <c r="AB155" s="585"/>
      <c r="AC155" s="496">
        <f t="shared" si="63"/>
        <v>242433.70513158312</v>
      </c>
      <c r="AD155" s="200">
        <f t="shared" si="64"/>
        <v>267237.0975035954</v>
      </c>
      <c r="AE155" s="61"/>
      <c r="AG155" s="470">
        <v>19419</v>
      </c>
      <c r="AI155" s="634">
        <f t="shared" si="69"/>
        <v>1984</v>
      </c>
      <c r="AJ155" s="589">
        <v>114880</v>
      </c>
      <c r="AK155" s="497">
        <v>104217</v>
      </c>
      <c r="AL155" s="496"/>
      <c r="AM155" s="395"/>
      <c r="AN155" s="162"/>
      <c r="AO155" s="735">
        <f>[8]rankings!$S6</f>
        <v>0.25</v>
      </c>
      <c r="AP155" s="738"/>
      <c r="AQ155" s="738"/>
    </row>
    <row r="156" spans="1:45" ht="11.25" customHeight="1">
      <c r="A156" s="579">
        <f t="shared" si="66"/>
        <v>1985</v>
      </c>
      <c r="B156" s="581">
        <f t="shared" si="67"/>
        <v>171.53775696658536</v>
      </c>
      <c r="C156" s="194">
        <f>B$268*(B155-(B17+Q63*$AD63))</f>
        <v>57.373097491334555</v>
      </c>
      <c r="D156" s="194">
        <f>C$268*(C155-(C17+R63*$AD63))</f>
        <v>197.3077712639647</v>
      </c>
      <c r="E156" s="194">
        <f>D$268*(D155-(D17+S63*$AD63))</f>
        <v>407.84105426040867</v>
      </c>
      <c r="F156" s="194">
        <f>E$268*(E155-(E17+T63*$AD63))</f>
        <v>366.70987219842721</v>
      </c>
      <c r="G156" s="194">
        <f>F$268*(F155-(F17+U63*$AD63))</f>
        <v>15.882590736623708</v>
      </c>
      <c r="H156" s="194">
        <f>G$268*(G155-(G17+V63*$AD63))</f>
        <v>3.7072261223941907</v>
      </c>
      <c r="I156" s="194">
        <f>H$268*(H155-(H17+W63*$AD63))</f>
        <v>37.962340637729739</v>
      </c>
      <c r="J156" s="194">
        <f>I$268*(I155-(I17+X63*$AD63))</f>
        <v>23.517607339659182</v>
      </c>
      <c r="K156" s="194">
        <f>J$268*(J155-(J17+Y63*$AD63))</f>
        <v>5.0321704592263368</v>
      </c>
      <c r="L156" s="194">
        <f>K$268*(K155-(K17+Z63*$AD63))</f>
        <v>3.8508123728050993E-2</v>
      </c>
      <c r="M156" s="712">
        <f>L$268*(L155-(L17+AA63*$AD63))</f>
        <v>0.46878974605920953</v>
      </c>
      <c r="N156" s="457">
        <f t="shared" ref="N156:N178" si="70">SUM(B156:M156)</f>
        <v>1287.3787853461408</v>
      </c>
      <c r="O156" s="709">
        <f>B156/N156</f>
        <v>0.13324575402294173</v>
      </c>
      <c r="P156" s="92">
        <f t="shared" si="68"/>
        <v>1985</v>
      </c>
      <c r="Q156" s="458">
        <f>Q18*B281*B156</f>
        <v>7820.3078404005382</v>
      </c>
      <c r="R156" s="496">
        <f>R18*C281*C156</f>
        <v>4856.6425744357766</v>
      </c>
      <c r="S156" s="496">
        <f>S18*D281*D156</f>
        <v>27491.738036773633</v>
      </c>
      <c r="T156" s="496">
        <f>T18*E281*E156</f>
        <v>85637.507704103089</v>
      </c>
      <c r="U156" s="496">
        <f>U18*F281*F156</f>
        <v>133115.68360802907</v>
      </c>
      <c r="V156" s="496">
        <f>V18*G281*G156</f>
        <v>6400.6840668593541</v>
      </c>
      <c r="W156" s="496">
        <f>W18*H281*H156</f>
        <v>1597.8144587518962</v>
      </c>
      <c r="X156" s="496">
        <f>X18*I281*I156</f>
        <v>17234.9026495293</v>
      </c>
      <c r="Y156" s="496">
        <f>Y18*J281*J156</f>
        <v>10700.511339544928</v>
      </c>
      <c r="Z156" s="496">
        <f>Z18*K281*K156</f>
        <v>2322.2284355128504</v>
      </c>
      <c r="AA156" s="496">
        <f>AA18*L281*L156</f>
        <v>18.228871583159563</v>
      </c>
      <c r="AB156" s="586">
        <f>AB18*M281*M156</f>
        <v>226.29640419420249</v>
      </c>
      <c r="AC156" s="496">
        <f t="shared" si="63"/>
        <v>297422.54598971776</v>
      </c>
      <c r="AD156" s="200">
        <f t="shared" si="64"/>
        <v>327851.84666992573</v>
      </c>
      <c r="AE156" s="17"/>
      <c r="AG156" s="470">
        <v>25812</v>
      </c>
      <c r="AI156" s="634">
        <f t="shared" si="69"/>
        <v>1985</v>
      </c>
      <c r="AJ156" s="589">
        <v>131400</v>
      </c>
      <c r="AK156" s="497">
        <v>119204</v>
      </c>
      <c r="AL156" s="496"/>
      <c r="AM156" s="395"/>
      <c r="AN156" s="162"/>
      <c r="AO156" s="735">
        <f>[8]rankings!$S7</f>
        <v>0.25</v>
      </c>
      <c r="AP156" s="738"/>
      <c r="AQ156" s="738"/>
    </row>
    <row r="157" spans="1:45" ht="11.25" customHeight="1">
      <c r="A157" s="473">
        <f t="shared" si="66"/>
        <v>1986</v>
      </c>
      <c r="B157" s="581">
        <f t="shared" si="67"/>
        <v>44.154994099098097</v>
      </c>
      <c r="C157" s="194">
        <f>B$268*(B156-(B18+Q64*$AD64))</f>
        <v>144.62856183974483</v>
      </c>
      <c r="D157" s="194">
        <f>C$268*(C156-(C18+R64*$AD64))</f>
        <v>47.666109430119299</v>
      </c>
      <c r="E157" s="194">
        <f>D$268*(D156-(D18+S64*$AD64))</f>
        <v>160.05769063556042</v>
      </c>
      <c r="F157" s="194">
        <f>E$268*(E156-(E18+T64*$AD64))</f>
        <v>324.25618594110284</v>
      </c>
      <c r="G157" s="194">
        <f>F$268*(F156-(F18+U64*$AD64))</f>
        <v>289.7140576632475</v>
      </c>
      <c r="H157" s="194">
        <f>G$268*(G156-(G18+V64*$AD64))</f>
        <v>11.393932717728347</v>
      </c>
      <c r="I157" s="194">
        <f>H$268*(H156-(H18+W64*$AD64))</f>
        <v>2.3854006036121564</v>
      </c>
      <c r="J157" s="194">
        <f>I$268*(I156-(I18+X64*$AD64))</f>
        <v>24.869345255978221</v>
      </c>
      <c r="K157" s="194">
        <f>J$268*(J156-(J18+Y64*$AD64))</f>
        <v>14.36255506425149</v>
      </c>
      <c r="L157" s="194">
        <f>K$268*(K156-(K18+Z64*$AD64))</f>
        <v>2.8378670044220367</v>
      </c>
      <c r="M157" s="712">
        <f>L$268*(L156-(L18+AA64*$AD64))+M$268*(M156-(M18+AB64*$AD64))</f>
        <v>0.24027448032860649</v>
      </c>
      <c r="N157" s="456">
        <f t="shared" si="70"/>
        <v>1066.566974735194</v>
      </c>
      <c r="O157" s="710">
        <f t="shared" ref="O157:O185" si="71">B157/N157</f>
        <v>4.1399176183999929E-2</v>
      </c>
      <c r="P157" s="498">
        <f t="shared" si="68"/>
        <v>1986</v>
      </c>
      <c r="Q157" s="458">
        <f>Q19*B282*B157</f>
        <v>2052.7311059485414</v>
      </c>
      <c r="R157" s="496">
        <f>R19*C282*C157</f>
        <v>12062.790988432595</v>
      </c>
      <c r="S157" s="496">
        <f>S19*D282*D157</f>
        <v>6435.5847578600396</v>
      </c>
      <c r="T157" s="496">
        <f>T19*E282*E157</f>
        <v>32234.604397206836</v>
      </c>
      <c r="U157" s="496">
        <f>U19*F282*F157</f>
        <v>116083.71456691482</v>
      </c>
      <c r="V157" s="496">
        <f>V19*G282*G157</f>
        <v>114147.33871931951</v>
      </c>
      <c r="W157" s="496">
        <f>W19*H282*H157</f>
        <v>4876.603203187733</v>
      </c>
      <c r="X157" s="496">
        <f>X19*I282*I157</f>
        <v>1071.0448710218582</v>
      </c>
      <c r="Y157" s="496">
        <f>Y19*J282*J157</f>
        <v>11514.506853517916</v>
      </c>
      <c r="Z157" s="496">
        <f>Z19*K282*K157</f>
        <v>6627.9817122792238</v>
      </c>
      <c r="AA157" s="496">
        <f>AA19*L282*L157</f>
        <v>1343.3818162376949</v>
      </c>
      <c r="AB157" s="586">
        <f>AB19*M282*M157</f>
        <v>115.98643395055571</v>
      </c>
      <c r="AC157" s="496">
        <f t="shared" si="63"/>
        <v>308566.26942587731</v>
      </c>
      <c r="AD157" s="200">
        <f t="shared" si="64"/>
        <v>340135.68445083883</v>
      </c>
      <c r="AE157" s="17"/>
      <c r="AG157" s="470">
        <v>16276</v>
      </c>
      <c r="AI157" s="716">
        <f t="shared" si="69"/>
        <v>1986</v>
      </c>
      <c r="AJ157" s="589">
        <v>94770</v>
      </c>
      <c r="AK157" s="497">
        <v>85974</v>
      </c>
      <c r="AL157" s="496"/>
      <c r="AM157" s="395"/>
      <c r="AN157" s="162"/>
      <c r="AO157" s="735">
        <f>[8]rankings!$S8</f>
        <v>0.25</v>
      </c>
      <c r="AP157" s="738"/>
      <c r="AQ157" s="738"/>
    </row>
    <row r="158" spans="1:45" ht="11.25" customHeight="1">
      <c r="A158" s="473">
        <f t="shared" si="66"/>
        <v>1987</v>
      </c>
      <c r="B158" s="581">
        <f t="shared" si="67"/>
        <v>153.85086012871921</v>
      </c>
      <c r="C158" s="194">
        <f>B$268*(B157-(B19+Q65*$AD65))</f>
        <v>37.345096058686757</v>
      </c>
      <c r="D158" s="194">
        <f>C$268*(C157-(C19+R65*$AD65))</f>
        <v>121.31519594955861</v>
      </c>
      <c r="E158" s="194">
        <f>D$268*(D157-(D19+S65*$AD65))</f>
        <v>39.33360471996005</v>
      </c>
      <c r="F158" s="194">
        <f>E$268*(E157-(E19+T65*$AD65))</f>
        <v>130.10430747920446</v>
      </c>
      <c r="G158" s="194">
        <f>F$268*(F157-(F19+U65*$AD65))</f>
        <v>261.82864324062587</v>
      </c>
      <c r="H158" s="194">
        <f>G$268*(G157-(G19+V65*$AD65))</f>
        <v>221.2630786795161</v>
      </c>
      <c r="I158" s="194">
        <f>H$268*(H157-(H19+W65*$AD65))</f>
        <v>8.0524912505159527</v>
      </c>
      <c r="J158" s="194">
        <f>I$268*(I157-(I19+X65*$AD65))</f>
        <v>1.5097041368542279</v>
      </c>
      <c r="K158" s="194">
        <f>J$268*(J157-(J19+Y65*$AD65))</f>
        <v>15.565597275991987</v>
      </c>
      <c r="L158" s="194">
        <f>K$268*(K157-(K19+Z65*$AD65))</f>
        <v>8.2987622616678429</v>
      </c>
      <c r="M158" s="712">
        <f>L$268*(L157-(L19+AA65*$AD65))+M$268*(M157-(M19+AB65*$AD65))</f>
        <v>1.6189858580380307</v>
      </c>
      <c r="N158" s="456">
        <f t="shared" si="70"/>
        <v>1000.086327039339</v>
      </c>
      <c r="O158" s="710">
        <f t="shared" si="71"/>
        <v>0.15383757978591719</v>
      </c>
      <c r="P158" s="498">
        <f t="shared" si="68"/>
        <v>1987</v>
      </c>
      <c r="Q158" s="458">
        <f>Q20*B283*B158</f>
        <v>7295.3681490746321</v>
      </c>
      <c r="R158" s="496">
        <f>R20*C283*C158</f>
        <v>2851.3404926619023</v>
      </c>
      <c r="S158" s="496">
        <f>S20*D283*D158</f>
        <v>17820.603527096766</v>
      </c>
      <c r="T158" s="496">
        <f>T20*E283*E158</f>
        <v>8259.1780352866663</v>
      </c>
      <c r="U158" s="496">
        <f>U20*F283*F158</f>
        <v>48528.906689743264</v>
      </c>
      <c r="V158" s="496">
        <f>V20*G283*G158</f>
        <v>112586.31659346912</v>
      </c>
      <c r="W158" s="496">
        <f>W20*H283*H158</f>
        <v>103772.38390069305</v>
      </c>
      <c r="X158" s="496">
        <f>X20*I283*I158</f>
        <v>4026.2456252579764</v>
      </c>
      <c r="Y158" s="496">
        <f>Y20*J283*J158</f>
        <v>819.76934631184577</v>
      </c>
      <c r="Z158" s="496">
        <f>Z20*K283*K158</f>
        <v>7183.157427383193</v>
      </c>
      <c r="AA158" s="496">
        <f>AA20*L283*L158</f>
        <v>3928.4456608545984</v>
      </c>
      <c r="AB158" s="586">
        <f>AB20*M283*M158</f>
        <v>781.52451327081337</v>
      </c>
      <c r="AC158" s="496">
        <f t="shared" si="63"/>
        <v>317853.23996110377</v>
      </c>
      <c r="AD158" s="200">
        <f t="shared" si="64"/>
        <v>350372.80494152429</v>
      </c>
      <c r="AE158" s="17"/>
      <c r="AG158" s="470">
        <v>15530</v>
      </c>
      <c r="AI158" s="716">
        <f t="shared" si="69"/>
        <v>1987</v>
      </c>
      <c r="AJ158" s="589">
        <v>88398</v>
      </c>
      <c r="AK158" s="497">
        <v>80193</v>
      </c>
      <c r="AL158" s="496"/>
      <c r="AM158" s="395"/>
      <c r="AN158" s="162"/>
      <c r="AO158" s="735">
        <f>[8]rankings!$S9</f>
        <v>0.25</v>
      </c>
      <c r="AP158" s="738"/>
      <c r="AQ158" s="738"/>
    </row>
    <row r="159" spans="1:45" ht="11.25" customHeight="1">
      <c r="A159" s="473">
        <f t="shared" si="66"/>
        <v>1988</v>
      </c>
      <c r="B159" s="581">
        <f t="shared" si="67"/>
        <v>142.5109990895472</v>
      </c>
      <c r="C159" s="194">
        <f>B$268*(B158-(B20+Q66*$AD66))</f>
        <v>130.14547301134778</v>
      </c>
      <c r="D159" s="194">
        <f>C$268*(C158-(C20+R66*$AD66))</f>
        <v>31.341682868839435</v>
      </c>
      <c r="E159" s="194">
        <f>D$268*(D158-(D20+S66*$AD66))</f>
        <v>100.26701254841248</v>
      </c>
      <c r="F159" s="194">
        <f>E$268*(E158-(E20+T66*$AD66))</f>
        <v>31.832013290669536</v>
      </c>
      <c r="G159" s="194">
        <f>F$268*(F158-(F20+U66*$AD66))</f>
        <v>105.02667869018575</v>
      </c>
      <c r="H159" s="194">
        <f>G$268*(G158-(G20+V66*$AD66))</f>
        <v>199.90249782726718</v>
      </c>
      <c r="I159" s="194">
        <f>H$268*(H158-(H20+W66*$AD66))</f>
        <v>159.45705601612048</v>
      </c>
      <c r="J159" s="194">
        <f>I$268*(I158-(I20+X66*$AD66))</f>
        <v>5.3302479355971562</v>
      </c>
      <c r="K159" s="194">
        <f>J$268*(J158-(J20+Y66*$AD66))</f>
        <v>0.89612583023519821</v>
      </c>
      <c r="L159" s="194">
        <f>K$268*(K158-(K20+Z66*$AD66))</f>
        <v>9.0060072144830912</v>
      </c>
      <c r="M159" s="712">
        <f>L$268*(L158-(L20+AA66*$AD66))+M$268*(M158-(M20+AB66*$AD66))</f>
        <v>5.1827078954085666</v>
      </c>
      <c r="N159" s="456">
        <f t="shared" si="70"/>
        <v>920.898502218114</v>
      </c>
      <c r="O159" s="710">
        <f t="shared" si="71"/>
        <v>0.15475212387281481</v>
      </c>
      <c r="P159" s="498">
        <f t="shared" si="68"/>
        <v>1988</v>
      </c>
      <c r="Q159" s="458">
        <f>Q21*B284*B159</f>
        <v>5898.5872175319719</v>
      </c>
      <c r="R159" s="496">
        <f>R21*C284*C159</f>
        <v>10044.762858619382</v>
      </c>
      <c r="S159" s="496">
        <f>S21*D284*D159</f>
        <v>4062.298698365702</v>
      </c>
      <c r="T159" s="496">
        <f>T21*E284*E159</f>
        <v>20193.140802881069</v>
      </c>
      <c r="U159" s="496">
        <f>U21*F284*F159</f>
        <v>10568.228412502285</v>
      </c>
      <c r="V159" s="496">
        <f>V21*G284*G159</f>
        <v>42325.75151214486</v>
      </c>
      <c r="W159" s="496">
        <f>W21*H284*H159</f>
        <v>85358.366572243089</v>
      </c>
      <c r="X159" s="496">
        <f>X21*I284*I159</f>
        <v>72871.87459936706</v>
      </c>
      <c r="Y159" s="496">
        <f>Y21*J284*J159</f>
        <v>2691.775207476564</v>
      </c>
      <c r="Z159" s="496">
        <f>Z21*K284*K159</f>
        <v>464.19318006183266</v>
      </c>
      <c r="AA159" s="496">
        <f>AA21*L284*L159</f>
        <v>5070.3820617539805</v>
      </c>
      <c r="AB159" s="586">
        <f>AB21*M284*M159</f>
        <v>2501.8212761243499</v>
      </c>
      <c r="AC159" s="496">
        <f t="shared" si="63"/>
        <v>262051.18239907213</v>
      </c>
      <c r="AD159" s="200">
        <f t="shared" si="64"/>
        <v>288861.63887032121</v>
      </c>
      <c r="AE159" s="17"/>
      <c r="AG159" s="470">
        <v>14167</v>
      </c>
      <c r="AI159" s="716">
        <f t="shared" si="69"/>
        <v>1988</v>
      </c>
      <c r="AJ159" s="589">
        <f t="shared" ref="AJ159:AJ165" si="72">AK159*2204.62/2000</f>
        <v>134717.71434000001</v>
      </c>
      <c r="AK159" s="497">
        <v>122214</v>
      </c>
      <c r="AL159" s="496"/>
      <c r="AM159" s="395"/>
      <c r="AN159" s="162"/>
      <c r="AO159" s="735">
        <f>[8]rankings!$S10</f>
        <v>0.25</v>
      </c>
      <c r="AP159" s="738"/>
      <c r="AQ159" s="738"/>
    </row>
    <row r="160" spans="1:45" ht="11.25" customHeight="1">
      <c r="A160" s="473">
        <f t="shared" si="66"/>
        <v>1989</v>
      </c>
      <c r="B160" s="581">
        <f t="shared" si="67"/>
        <v>45.005765795320571</v>
      </c>
      <c r="C160" s="194">
        <f>B$268*(B159-(B21+Q67*$AD67))</f>
        <v>120.55926413885815</v>
      </c>
      <c r="D160" s="194">
        <f>C$268*(C159-(C21+R67*$AD67))</f>
        <v>109.24813109945167</v>
      </c>
      <c r="E160" s="194">
        <f>D$268*(D159-(D21+S67*$AD67))</f>
        <v>26.001504291094392</v>
      </c>
      <c r="F160" s="194">
        <f>E$268*(E159-(E21+T67*$AD67))</f>
        <v>81.656240376656285</v>
      </c>
      <c r="G160" s="194">
        <f>F$268*(F159-(F21+U67*$AD67))</f>
        <v>25.633411998611944</v>
      </c>
      <c r="H160" s="194">
        <f>G$268*(G159-(G21+V67*$AD67))</f>
        <v>79.404385348190246</v>
      </c>
      <c r="I160" s="194">
        <f>H$268*(H159-(H21+W67*$AD67))</f>
        <v>141.86211272697176</v>
      </c>
      <c r="J160" s="194">
        <f>I$268*(I159-(I21+X67*$AD67))</f>
        <v>106.90668507928945</v>
      </c>
      <c r="K160" s="194">
        <f>J$268*(J159-(J21+Y67*$AD67))</f>
        <v>3.1827531888605067</v>
      </c>
      <c r="L160" s="194">
        <f>K$268*(K159-(K21+Z67*$AD67))</f>
        <v>0.50429232806956192</v>
      </c>
      <c r="M160" s="712">
        <f>L$268*(L159-(L21+AA67*$AD67))+M$268*(M159-(M21+AB67*$AD67))</f>
        <v>7.2663376701577782</v>
      </c>
      <c r="N160" s="456">
        <f t="shared" si="70"/>
        <v>747.23088404153236</v>
      </c>
      <c r="O160" s="710">
        <f t="shared" si="71"/>
        <v>6.0230066444656047E-2</v>
      </c>
      <c r="P160" s="498">
        <f t="shared" si="68"/>
        <v>1989</v>
      </c>
      <c r="Q160" s="458">
        <f>Q22*B285*B160</f>
        <v>2134.1033129954176</v>
      </c>
      <c r="R160" s="496">
        <f>R22*C285*C160</f>
        <v>9755.1258743420003</v>
      </c>
      <c r="S160" s="496">
        <f>S22*D285*D160</f>
        <v>14514.010182125783</v>
      </c>
      <c r="T160" s="496">
        <f>T22*E285*E160</f>
        <v>5047.6794051294228</v>
      </c>
      <c r="U160" s="496">
        <f>U22*F285*F160</f>
        <v>28416.371651076388</v>
      </c>
      <c r="V160" s="496">
        <f>V22*G285*G160</f>
        <v>9868.8636194655992</v>
      </c>
      <c r="W160" s="496">
        <f>W22*H285*H160</f>
        <v>32794.011148802572</v>
      </c>
      <c r="X160" s="496">
        <f>X22*I285*I160</f>
        <v>62561.191712594547</v>
      </c>
      <c r="Y160" s="496">
        <f>Y22*J285*J160</f>
        <v>49177.075136473148</v>
      </c>
      <c r="Z160" s="496">
        <f>Z22*K285*K160</f>
        <v>1492.7112455755775</v>
      </c>
      <c r="AA160" s="496">
        <f>AA22*L285*L160</f>
        <v>247.10324075408533</v>
      </c>
      <c r="AB160" s="586">
        <f>AB22*M285*M160</f>
        <v>3507.6408992313977</v>
      </c>
      <c r="AC160" s="496">
        <f t="shared" si="63"/>
        <v>219515.88742856591</v>
      </c>
      <c r="AD160" s="200">
        <f t="shared" si="64"/>
        <v>241974.55787138248</v>
      </c>
      <c r="AE160" s="17"/>
      <c r="AG160" s="470">
        <v>12259</v>
      </c>
      <c r="AI160" s="716">
        <f t="shared" si="69"/>
        <v>1989</v>
      </c>
      <c r="AJ160" s="589">
        <f t="shared" si="72"/>
        <v>98965</v>
      </c>
      <c r="AK160" s="497">
        <v>89779.644564596165</v>
      </c>
      <c r="AL160" s="496"/>
      <c r="AM160" s="395"/>
      <c r="AN160" s="162"/>
      <c r="AO160" s="735">
        <f>[8]rankings!$S11</f>
        <v>0.25</v>
      </c>
      <c r="AP160" s="738"/>
      <c r="AQ160" s="738"/>
    </row>
    <row r="161" spans="1:43" ht="11.25" customHeight="1">
      <c r="A161" s="473">
        <f t="shared" si="66"/>
        <v>1990</v>
      </c>
      <c r="B161" s="581">
        <f t="shared" si="67"/>
        <v>121.9738665962645</v>
      </c>
      <c r="C161" s="194">
        <f>B$268*(B160-(B22+Q68*$AD68))</f>
        <v>38.057313264232292</v>
      </c>
      <c r="D161" s="194">
        <f>C$268*(C160-(C22+R68*$AD68))</f>
        <v>101.05765817298281</v>
      </c>
      <c r="E161" s="194">
        <f>D$268*(D160-(D22+S68*$AD68))</f>
        <v>89.989991127064698</v>
      </c>
      <c r="F161" s="194">
        <f>E$268*(E160-(E22+T68*$AD68))</f>
        <v>21.029194085767823</v>
      </c>
      <c r="G161" s="194">
        <f>F$268*(F160-(F22+U68*$AD68))</f>
        <v>65.390030338199253</v>
      </c>
      <c r="H161" s="194">
        <f>G$268*(G160-(G22+V68*$AD68))</f>
        <v>19.266730815264602</v>
      </c>
      <c r="I161" s="194">
        <f>H$268*(H160-(H22+W68*$AD68))</f>
        <v>56.450388199590655</v>
      </c>
      <c r="J161" s="194">
        <f>I$268*(I160-(I22+X68*$AD68))</f>
        <v>94.422285418337594</v>
      </c>
      <c r="K161" s="194">
        <f>J$268*(J160-(J22+Y68*$AD68))</f>
        <v>66.245201868764326</v>
      </c>
      <c r="L161" s="194">
        <f>K$268*(K160-(K22+Z68*$AD68))</f>
        <v>1.8092482575050486</v>
      </c>
      <c r="M161" s="712">
        <f>L$268*(L160-(L22+AA68*$AD68))+M$268*(M160-(M22+AB68*$AD68))</f>
        <v>3.7023203400315525</v>
      </c>
      <c r="N161" s="456">
        <f t="shared" si="70"/>
        <v>679.394228484005</v>
      </c>
      <c r="O161" s="710">
        <f t="shared" si="71"/>
        <v>0.17953326873034534</v>
      </c>
      <c r="P161" s="498">
        <f t="shared" si="68"/>
        <v>1990</v>
      </c>
      <c r="Q161" s="458">
        <f>Q23*B286*B161</f>
        <v>5524.1348641938084</v>
      </c>
      <c r="R161" s="496">
        <f>R23*C286*C161</f>
        <v>3300.5178738244158</v>
      </c>
      <c r="S161" s="496">
        <f>S23*D286*D161</f>
        <v>13425.876167796716</v>
      </c>
      <c r="T161" s="496">
        <f>T23*E286*E161</f>
        <v>18004.571769781411</v>
      </c>
      <c r="U161" s="496">
        <f>U23*F286*F161</f>
        <v>7465.3639004475772</v>
      </c>
      <c r="V161" s="496">
        <f>V23*G286*G161</f>
        <v>25502.11183189771</v>
      </c>
      <c r="W161" s="496">
        <f>W23*H286*H161</f>
        <v>8111.293673226397</v>
      </c>
      <c r="X161" s="496">
        <f>X23*I286*I161</f>
        <v>25120.42274881784</v>
      </c>
      <c r="Y161" s="496">
        <f>Y23*J286*J161</f>
        <v>44284.051861200329</v>
      </c>
      <c r="Z161" s="496">
        <f>Z23*K286*K161</f>
        <v>32791.374925038341</v>
      </c>
      <c r="AA161" s="496">
        <f>AA23*L286*L161</f>
        <v>924.52585958507984</v>
      </c>
      <c r="AB161" s="586">
        <f>AB23*M286*M161</f>
        <v>1817.8392869554923</v>
      </c>
      <c r="AC161" s="496">
        <f t="shared" si="63"/>
        <v>186272.08476276512</v>
      </c>
      <c r="AD161" s="200">
        <f t="shared" si="64"/>
        <v>205329.58175484362</v>
      </c>
      <c r="AE161" s="17"/>
      <c r="AG161" s="470">
        <v>12230</v>
      </c>
      <c r="AI161" s="716">
        <f t="shared" si="69"/>
        <v>1990</v>
      </c>
      <c r="AJ161" s="589">
        <f t="shared" si="72"/>
        <v>88105</v>
      </c>
      <c r="AK161" s="497">
        <v>79927.606571654076</v>
      </c>
      <c r="AL161" s="496"/>
      <c r="AM161" s="395"/>
      <c r="AN161" s="162"/>
      <c r="AO161" s="735">
        <f>[8]rankings!$S12</f>
        <v>0.25</v>
      </c>
      <c r="AP161" s="738"/>
      <c r="AQ161" s="738"/>
    </row>
    <row r="162" spans="1:43" ht="11.25" customHeight="1">
      <c r="A162" s="473">
        <f t="shared" si="66"/>
        <v>1991</v>
      </c>
      <c r="B162" s="581">
        <f t="shared" si="67"/>
        <v>407.75382449424723</v>
      </c>
      <c r="C162" s="194">
        <f>B$268*(B161-(B23+Q69*$AD69))</f>
        <v>103.07082109573743</v>
      </c>
      <c r="D162" s="194">
        <f>C$268*(C161-(C23+R69*$AD69))</f>
        <v>31.834165026529337</v>
      </c>
      <c r="E162" s="194">
        <f>D$268*(D161-(D23+S69*$AD69))</f>
        <v>83.049063269191564</v>
      </c>
      <c r="F162" s="194">
        <f>E$268*(E161-(E23+T69*$AD69))</f>
        <v>72.679030162580688</v>
      </c>
      <c r="G162" s="194">
        <f>F$268*(F161-(F23+U69*$AD69))</f>
        <v>16.814998738754433</v>
      </c>
      <c r="H162" s="194">
        <f>G$268*(G161-(G23+V69*$AD69))</f>
        <v>48.957953125413411</v>
      </c>
      <c r="I162" s="194">
        <f>H$268*(H161-(H23+W69*$AD69))</f>
        <v>13.498168963316916</v>
      </c>
      <c r="J162" s="194">
        <f>I$268*(I161-(I23+X69*$AD69))</f>
        <v>37.014123943627318</v>
      </c>
      <c r="K162" s="194">
        <f>J$268*(J161-(J23+Y69*$AD69))</f>
        <v>57.73422337413195</v>
      </c>
      <c r="L162" s="194">
        <f>K$268*(K161-(K23+Z69*$AD69))</f>
        <v>37.594796337964262</v>
      </c>
      <c r="M162" s="712">
        <f>L$268*(L161-(L23+AA69*$AD69))+M$268*(M161-(M23+AB69*$AD69))</f>
        <v>2.6176625454491322</v>
      </c>
      <c r="N162" s="456">
        <f t="shared" si="70"/>
        <v>912.61883107694359</v>
      </c>
      <c r="O162" s="710">
        <f t="shared" si="71"/>
        <v>0.44679532199995686</v>
      </c>
      <c r="P162" s="498">
        <f t="shared" si="68"/>
        <v>1991</v>
      </c>
      <c r="Q162" s="458">
        <f>Q24*B287*B162</f>
        <v>19934.538311543321</v>
      </c>
      <c r="R162" s="496">
        <f>R24*C287*C162</f>
        <v>7997.8825120713727</v>
      </c>
      <c r="S162" s="496">
        <f>S24*D287*D162</f>
        <v>4659.0895108887416</v>
      </c>
      <c r="T162" s="496">
        <f>T24*E287*E162</f>
        <v>17164.258031590714</v>
      </c>
      <c r="U162" s="496">
        <f>U24*F287*F162</f>
        <v>26237.129888691627</v>
      </c>
      <c r="V162" s="496">
        <f>V24*G287*G162</f>
        <v>6725.9994955017728</v>
      </c>
      <c r="W162" s="496">
        <f>W24*H287*H162</f>
        <v>21443.583468931072</v>
      </c>
      <c r="X162" s="496">
        <f>X24*I287*I162</f>
        <v>6317.1430748323164</v>
      </c>
      <c r="Y162" s="496">
        <f>Y24*J287*J162</f>
        <v>18173.934856321011</v>
      </c>
      <c r="Z162" s="496">
        <f>Z24*K287*K162</f>
        <v>29848.593484426219</v>
      </c>
      <c r="AA162" s="496">
        <f>AA24*L287*L162</f>
        <v>19511.699299403452</v>
      </c>
      <c r="AB162" s="586">
        <f>AB24*M287*M162</f>
        <v>1350.7138734517523</v>
      </c>
      <c r="AC162" s="496">
        <f t="shared" si="63"/>
        <v>179364.56580765336</v>
      </c>
      <c r="AD162" s="200">
        <f t="shared" si="64"/>
        <v>197715.35453543437</v>
      </c>
      <c r="AE162" s="17"/>
      <c r="AG162" s="470">
        <v>14970</v>
      </c>
      <c r="AI162" s="716">
        <f t="shared" si="69"/>
        <v>1991</v>
      </c>
      <c r="AJ162" s="589">
        <f t="shared" si="72"/>
        <v>83229</v>
      </c>
      <c r="AK162" s="497">
        <v>75504.168518837716</v>
      </c>
      <c r="AL162" s="496"/>
      <c r="AM162" s="395"/>
      <c r="AN162" s="162"/>
      <c r="AO162" s="735">
        <f>[8]rankings!$S13</f>
        <v>0.25</v>
      </c>
      <c r="AP162" s="738"/>
      <c r="AQ162" s="738"/>
    </row>
    <row r="163" spans="1:43" ht="11.25" customHeight="1">
      <c r="A163" s="473">
        <f t="shared" si="66"/>
        <v>1992</v>
      </c>
      <c r="B163" s="581">
        <f t="shared" si="67"/>
        <v>286.25481276949603</v>
      </c>
      <c r="C163" s="194">
        <f>B$268*(B162-(B24+Q70*$AD70))</f>
        <v>343.70081924514432</v>
      </c>
      <c r="D163" s="194">
        <f>C$268*(C162-(C24+R70*$AD70))</f>
        <v>85.713058346524448</v>
      </c>
      <c r="E163" s="194">
        <f>D$268*(D162-(D24+S70*$AD70))</f>
        <v>25.928890315085624</v>
      </c>
      <c r="F163" s="194">
        <f>E$268*(E162-(E24+T70*$AD70))</f>
        <v>65.961453891913152</v>
      </c>
      <c r="G163" s="194">
        <f>F$268*(F162-(F24+U70*$AD70))</f>
        <v>56.579047987276248</v>
      </c>
      <c r="H163" s="194">
        <f>G$268*(G162-(G24+V70*$AD70))</f>
        <v>12.248403387017932</v>
      </c>
      <c r="I163" s="194">
        <f>H$268*(H162-(H24+W70*$AD70))</f>
        <v>33.679944088437594</v>
      </c>
      <c r="J163" s="194">
        <f>I$268*(I162-(I24+X70*$AD70))</f>
        <v>8.4358827403922305</v>
      </c>
      <c r="K163" s="194">
        <f>J$268*(J162-(J24+Y70*$AD70))</f>
        <v>21.897635505924498</v>
      </c>
      <c r="L163" s="194">
        <f>K$268*(K162-(K24+Z70*$AD70))</f>
        <v>31.832648426030069</v>
      </c>
      <c r="M163" s="712">
        <f>L$268*(L162-(L24+AA70*$AD70))+M$268*(M162-(M24+AB70*$AD70))</f>
        <v>20.468893188202131</v>
      </c>
      <c r="N163" s="456">
        <f t="shared" si="70"/>
        <v>992.70148989144423</v>
      </c>
      <c r="O163" s="710">
        <f t="shared" si="71"/>
        <v>0.28835940681503269</v>
      </c>
      <c r="P163" s="498">
        <f t="shared" si="68"/>
        <v>1992</v>
      </c>
      <c r="Q163" s="458">
        <f>Q25*B288*B163</f>
        <v>13651.188251274336</v>
      </c>
      <c r="R163" s="496">
        <f>R25*C288*C163</f>
        <v>29664.810614540354</v>
      </c>
      <c r="S163" s="496">
        <f>S25*D288*D163</f>
        <v>11063.261874485754</v>
      </c>
      <c r="T163" s="496">
        <f>T25*E288*E163</f>
        <v>5547.2137347287053</v>
      </c>
      <c r="U163" s="496">
        <f>U25*F288*F163</f>
        <v>24471.69939389978</v>
      </c>
      <c r="V163" s="496">
        <f>V25*G288*G163</f>
        <v>23819.779202643302</v>
      </c>
      <c r="W163" s="496">
        <f>W25*H288*H163</f>
        <v>5524.029927545087</v>
      </c>
      <c r="X163" s="496">
        <f>X25*I288*I163</f>
        <v>16671.572323776611</v>
      </c>
      <c r="Y163" s="496">
        <f>Y25*J288*J163</f>
        <v>4361.3513767827835</v>
      </c>
      <c r="Z163" s="496">
        <f>Z25*K288*K163</f>
        <v>11627.644453645908</v>
      </c>
      <c r="AA163" s="496">
        <f>AA25*L288*L163</f>
        <v>17698.952524872719</v>
      </c>
      <c r="AB163" s="586">
        <f>AB25*M288*M163</f>
        <v>11564.924651334204</v>
      </c>
      <c r="AC163" s="496">
        <f t="shared" si="63"/>
        <v>175666.42832952956</v>
      </c>
      <c r="AD163" s="200">
        <f t="shared" si="64"/>
        <v>193638.86061192374</v>
      </c>
      <c r="AE163" s="17"/>
      <c r="AG163" s="470">
        <v>25808</v>
      </c>
      <c r="AI163" s="716">
        <f t="shared" si="69"/>
        <v>1992</v>
      </c>
      <c r="AJ163" s="589">
        <f t="shared" si="72"/>
        <v>156956.81859000001</v>
      </c>
      <c r="AK163" s="497">
        <v>142389</v>
      </c>
      <c r="AL163" s="496">
        <f>(AK163-AC163)</f>
        <v>-33277.428329529561</v>
      </c>
      <c r="AM163" s="395">
        <f>LN(AK163)-LN(AC163)</f>
        <v>-0.21002415431128973</v>
      </c>
      <c r="AN163" s="162">
        <f>AM163^2</f>
        <v>4.4110145394172441E-2</v>
      </c>
      <c r="AO163" s="735">
        <f>[8]rankings!$S14</f>
        <v>0.75</v>
      </c>
      <c r="AP163" s="738"/>
      <c r="AQ163" s="738"/>
    </row>
    <row r="164" spans="1:43" ht="11.25" customHeight="1">
      <c r="A164" s="473">
        <f t="shared" si="66"/>
        <v>1993</v>
      </c>
      <c r="B164" s="581">
        <f t="shared" si="67"/>
        <v>141.96077409041726</v>
      </c>
      <c r="C164" s="194">
        <f>B$268*(B163-(B25+Q71*$AD71))</f>
        <v>239.64060965597184</v>
      </c>
      <c r="D164" s="194">
        <f>C$268*(C163-(C25+R71*$AD71))</f>
        <v>280.19367417049392</v>
      </c>
      <c r="E164" s="194">
        <f>D$268*(D163-(D25+S71*$AD71))</f>
        <v>67.397783506303867</v>
      </c>
      <c r="F164" s="194">
        <f>E$268*(E163-(E25+T71*$AD71))</f>
        <v>19.470699925393475</v>
      </c>
      <c r="G164" s="194">
        <f>F$268*(F163-(F25+U71*$AD71))</f>
        <v>47.164333468482212</v>
      </c>
      <c r="H164" s="194">
        <f>G$268*(G163-(G25+V71*$AD71))</f>
        <v>37.58591762974654</v>
      </c>
      <c r="I164" s="194">
        <f>H$268*(H163-(H25+W71*$AD71))</f>
        <v>7.8573772187310631</v>
      </c>
      <c r="J164" s="194">
        <f>I$268*(I163-(I25+X71*$AD71))</f>
        <v>20.118978062694378</v>
      </c>
      <c r="K164" s="194">
        <f>J$268*(J163-(J25+Y71*$AD71))</f>
        <v>4.4711612831652685</v>
      </c>
      <c r="L164" s="194">
        <f>K$268*(K163-(K25+Z71*$AD71))</f>
        <v>11.272142130647701</v>
      </c>
      <c r="M164" s="712">
        <f>L$268*(L163-(L25+AA71*$AD71))+M$268*(M163-(M25+AB71*$AD71))</f>
        <v>23.928756515959272</v>
      </c>
      <c r="N164" s="456">
        <f t="shared" si="70"/>
        <v>901.06220765800686</v>
      </c>
      <c r="O164" s="710">
        <f t="shared" si="71"/>
        <v>0.15754825014733909</v>
      </c>
      <c r="P164" s="498">
        <f t="shared" si="68"/>
        <v>1993</v>
      </c>
      <c r="Q164" s="458">
        <f>Q26*B289*B164</f>
        <v>4542.7229195971504</v>
      </c>
      <c r="R164" s="496">
        <f>R26*C289*C164</f>
        <v>20873.285355255954</v>
      </c>
      <c r="S164" s="496">
        <f>S26*D289*D164</f>
        <v>46899.788039723426</v>
      </c>
      <c r="T164" s="496">
        <f>T26*E289*E164</f>
        <v>16169.144465787342</v>
      </c>
      <c r="U164" s="496">
        <f>U26*F289*F164</f>
        <v>6620.0379746337812</v>
      </c>
      <c r="V164" s="496">
        <f>V26*G289*G164</f>
        <v>17120.653049059041</v>
      </c>
      <c r="W164" s="496">
        <f>W26*H289*H164</f>
        <v>14884.023381379629</v>
      </c>
      <c r="X164" s="496">
        <f>X26*I289*I164</f>
        <v>3433.6738445854744</v>
      </c>
      <c r="Y164" s="496">
        <f>Y26*J289*J164</f>
        <v>9093.7780843378587</v>
      </c>
      <c r="Z164" s="496">
        <f>Z26*K289*K164</f>
        <v>2119.3304482203371</v>
      </c>
      <c r="AA164" s="496">
        <f>AA26*L289*L164</f>
        <v>5444.4446491028393</v>
      </c>
      <c r="AB164" s="586">
        <f>AB26*M289*M164</f>
        <v>11892.591988431757</v>
      </c>
      <c r="AC164" s="496">
        <f t="shared" si="63"/>
        <v>159093.47420011458</v>
      </c>
      <c r="AD164" s="200">
        <f t="shared" si="64"/>
        <v>175370.3275455283</v>
      </c>
      <c r="AE164" s="17"/>
      <c r="AG164" s="470">
        <v>17956</v>
      </c>
      <c r="AI164" s="716">
        <f t="shared" si="69"/>
        <v>1993</v>
      </c>
      <c r="AJ164" s="589">
        <f t="shared" si="72"/>
        <v>193847.00000000003</v>
      </c>
      <c r="AK164" s="497">
        <v>175855.24943074092</v>
      </c>
      <c r="AL164" s="496">
        <f>(AK164-AC164)</f>
        <v>16761.775230626343</v>
      </c>
      <c r="AM164" s="395">
        <f>LN(AK164)-LN(AC164)</f>
        <v>0.1001692926945168</v>
      </c>
      <c r="AN164" s="162">
        <f>AM164^2</f>
        <v>1.0033887198919776E-2</v>
      </c>
      <c r="AO164" s="735">
        <f>[8]rankings!$S15</f>
        <v>0.75</v>
      </c>
      <c r="AP164" s="738"/>
      <c r="AQ164" s="738"/>
    </row>
    <row r="165" spans="1:43" ht="11.25" customHeight="1">
      <c r="A165" s="473">
        <f t="shared" si="66"/>
        <v>1994</v>
      </c>
      <c r="B165" s="581">
        <f t="shared" si="67"/>
        <v>149.94195294274468</v>
      </c>
      <c r="C165" s="194">
        <f>B$268*(B164-(B26+Q72*$AD72))</f>
        <v>119.29264863903718</v>
      </c>
      <c r="D165" s="194">
        <f>C$268*(C164-(C26+R72*$AD72))</f>
        <v>197.4998097085066</v>
      </c>
      <c r="E165" s="194">
        <f>D$268*(D164-(D26+S72*$AD72))</f>
        <v>224.249981104997</v>
      </c>
      <c r="F165" s="194">
        <f>E$268*(E164-(E26+T72*$AD72))</f>
        <v>52.887637587588941</v>
      </c>
      <c r="G165" s="194">
        <f>F$268*(F164-(F26+U72*$AD72))</f>
        <v>14.979460100914014</v>
      </c>
      <c r="H165" s="194">
        <f>G$268*(G164-(G26+V72*$AD72))</f>
        <v>33.348193366858332</v>
      </c>
      <c r="I165" s="194">
        <f>H$268*(H164-(H26+W72*$AD72))</f>
        <v>24.838931101309679</v>
      </c>
      <c r="J165" s="194">
        <f>I$268*(I164-(I26+X72*$AD72))</f>
        <v>4.7002986285623036</v>
      </c>
      <c r="K165" s="194">
        <f>J$268*(J164-(J26+Y72*$AD72))</f>
        <v>11.565662081243007</v>
      </c>
      <c r="L165" s="194">
        <f>K$268*(K164-(K26+Z72*$AD72))</f>
        <v>2.2297067526668828</v>
      </c>
      <c r="M165" s="712">
        <f>L$268*(L164-(L26+AA72*$AD72))+M$268*(M164-(M26+AB72*$AD72))</f>
        <v>16.172893847853423</v>
      </c>
      <c r="N165" s="456">
        <f t="shared" si="70"/>
        <v>851.70717586228204</v>
      </c>
      <c r="O165" s="710">
        <f t="shared" si="71"/>
        <v>0.1760487139150155</v>
      </c>
      <c r="P165" s="498">
        <f t="shared" si="68"/>
        <v>1994</v>
      </c>
      <c r="Q165" s="458">
        <f>Q27*B290*B165</f>
        <v>4741.0858527676946</v>
      </c>
      <c r="R165" s="496">
        <f>R27*C290*C165</f>
        <v>11090.055390797063</v>
      </c>
      <c r="S165" s="496">
        <f>S27*D290*D165</f>
        <v>36257.383360743312</v>
      </c>
      <c r="T165" s="496">
        <f>T27*E290*E165</f>
        <v>59370.989935801386</v>
      </c>
      <c r="U165" s="496">
        <f>U27*F290*F165</f>
        <v>16712.493477678105</v>
      </c>
      <c r="V165" s="496">
        <f>V27*G290*G165</f>
        <v>5722.1537585491533</v>
      </c>
      <c r="W165" s="496">
        <f>W27*H290*H165</f>
        <v>13606.0628936782</v>
      </c>
      <c r="X165" s="496">
        <f>X27*I290*I165</f>
        <v>10854.612891272331</v>
      </c>
      <c r="Y165" s="496">
        <f>Y27*J290*J165</f>
        <v>2138.635875995848</v>
      </c>
      <c r="Z165" s="496">
        <f>Z27*K290*K165</f>
        <v>5551.5177989966433</v>
      </c>
      <c r="AA165" s="496">
        <f>AA27*L290*L165</f>
        <v>1074.7186547854376</v>
      </c>
      <c r="AB165" s="586">
        <f>AB27*M290*M165</f>
        <v>8232.0029685573918</v>
      </c>
      <c r="AC165" s="496">
        <f t="shared" si="63"/>
        <v>175351.71285962258</v>
      </c>
      <c r="AD165" s="200">
        <f t="shared" si="64"/>
        <v>193291.94660229058</v>
      </c>
      <c r="AE165" s="17"/>
      <c r="AG165" s="470">
        <v>30315</v>
      </c>
      <c r="AI165" s="716">
        <f t="shared" si="69"/>
        <v>1994</v>
      </c>
      <c r="AJ165" s="589">
        <f t="shared" si="72"/>
        <v>185411.68202848587</v>
      </c>
      <c r="AK165" s="497">
        <f>185410/1.1023</f>
        <v>168202.84858931325</v>
      </c>
      <c r="AL165" s="496">
        <f>(AK165-AC165)</f>
        <v>-7148.8642703093356</v>
      </c>
      <c r="AM165" s="395">
        <f>LN(AK165)-LN(AC165)</f>
        <v>-4.1623061648655479E-2</v>
      </c>
      <c r="AN165" s="162">
        <f>AM165^2</f>
        <v>1.7324792610077745E-3</v>
      </c>
      <c r="AO165" s="735">
        <f>[8]rankings!$S16</f>
        <v>0.75</v>
      </c>
      <c r="AP165" s="738"/>
      <c r="AQ165" s="738"/>
    </row>
    <row r="166" spans="1:43" ht="11.25" customHeight="1">
      <c r="A166" s="473">
        <f t="shared" si="66"/>
        <v>1995</v>
      </c>
      <c r="B166" s="581">
        <f t="shared" si="67"/>
        <v>158.80026010348101</v>
      </c>
      <c r="C166" s="194">
        <f>B$268*(B165-(B27+Q73*$AD73))</f>
        <v>125.40079515660773</v>
      </c>
      <c r="D166" s="194">
        <f>C$268*(C165-(C27+R73*$AD73))</f>
        <v>96.993052056719733</v>
      </c>
      <c r="E166" s="194">
        <f>D$268*(D165-(D27+S73*$AD73))</f>
        <v>153.62997426774538</v>
      </c>
      <c r="F166" s="194">
        <f>E$268*(E165-(E27+T73*$AD73))</f>
        <v>167.9967737973534</v>
      </c>
      <c r="G166" s="194">
        <f>F$268*(F165-(F27+U73*$AD73))</f>
        <v>39.261423485389045</v>
      </c>
      <c r="H166" s="194">
        <f>G$268*(G165-(G27+V73*$AD73))</f>
        <v>9.1533524390593222</v>
      </c>
      <c r="I166" s="194">
        <f>H$268*(H165-(H27+W73*$AD73))</f>
        <v>19.262277745113852</v>
      </c>
      <c r="J166" s="194">
        <f>I$268*(I165-(I27+X73*$AD73))</f>
        <v>13.487782246051434</v>
      </c>
      <c r="K166" s="194">
        <f>J$268*(J165-(J27+Y73*$AD73))</f>
        <v>2.0555642465003272</v>
      </c>
      <c r="L166" s="194">
        <f>K$268*(K165-(K27+Z73*$AD73))</f>
        <v>5.5542366796134726</v>
      </c>
      <c r="M166" s="712">
        <f>L$268*(L165-(L27+AA73*$AD73))+M$268*(M165-(M27+AB73*$AD73))</f>
        <v>6.9855741291188398</v>
      </c>
      <c r="N166" s="456">
        <f t="shared" si="70"/>
        <v>798.58106635275362</v>
      </c>
      <c r="O166" s="710">
        <f t="shared" si="71"/>
        <v>0.19885302418794748</v>
      </c>
      <c r="P166" s="498">
        <f t="shared" si="68"/>
        <v>1995</v>
      </c>
      <c r="Q166" s="458">
        <f>Q28*B291*B166</f>
        <v>5653.2620664991073</v>
      </c>
      <c r="R166" s="496">
        <f>R28*C291*C166</f>
        <v>11342.821587102557</v>
      </c>
      <c r="S166" s="496">
        <f>S28*D291*D166</f>
        <v>16824.20771869845</v>
      </c>
      <c r="T166" s="496">
        <f>T28*E291*E166</f>
        <v>38436.355806524181</v>
      </c>
      <c r="U166" s="496">
        <f>U28*F291*F166</f>
        <v>54430.954710342499</v>
      </c>
      <c r="V166" s="496">
        <f>V28*G291*G166</f>
        <v>13191.838291090718</v>
      </c>
      <c r="W166" s="496">
        <f>W28*H291*H166</f>
        <v>3377.5870500128899</v>
      </c>
      <c r="X166" s="496">
        <f>X28*I291*I166</f>
        <v>7704.9110980455407</v>
      </c>
      <c r="Y166" s="496">
        <f>Y28*J291*J166</f>
        <v>5637.8929788494997</v>
      </c>
      <c r="Z166" s="496">
        <f>Z28*K291*K166</f>
        <v>883.89262599514075</v>
      </c>
      <c r="AA166" s="496">
        <f>AA28*L291*L166</f>
        <v>2443.8641390299281</v>
      </c>
      <c r="AB166" s="586">
        <f>AB28*M291*M166</f>
        <v>3213.3640993946665</v>
      </c>
      <c r="AC166" s="206">
        <f t="shared" si="63"/>
        <v>163140.9521715852</v>
      </c>
      <c r="AD166" s="200">
        <f t="shared" si="64"/>
        <v>179831.90298826009</v>
      </c>
      <c r="AE166" s="146"/>
      <c r="AG166" s="470">
        <v>26732</v>
      </c>
      <c r="AI166" s="716">
        <f t="shared" si="69"/>
        <v>1995</v>
      </c>
      <c r="AJ166" s="737">
        <f>[8]rankings!$M17</f>
        <v>23550</v>
      </c>
      <c r="AK166" s="497"/>
      <c r="AL166" s="494"/>
      <c r="AM166" s="395"/>
      <c r="AN166" s="162"/>
      <c r="AO166" s="735">
        <f>[8]rankings!$S17</f>
        <v>0.25</v>
      </c>
      <c r="AP166" s="738"/>
      <c r="AQ166" s="738"/>
    </row>
    <row r="167" spans="1:43" ht="11.25" customHeight="1">
      <c r="A167" s="473">
        <f t="shared" si="66"/>
        <v>1996</v>
      </c>
      <c r="B167" s="581">
        <f t="shared" si="67"/>
        <v>110.67830360729688</v>
      </c>
      <c r="C167" s="194">
        <f>B$268*(B166-(B28+Q74*$AD74))</f>
        <v>132.92936028406052</v>
      </c>
      <c r="D167" s="194">
        <f>C$268*(C166-(C28+R74*$AD74))</f>
        <v>102.29627840434115</v>
      </c>
      <c r="E167" s="194">
        <f>D$268*(D166-(D28+S74*$AD74))</f>
        <v>76.31808523484824</v>
      </c>
      <c r="F167" s="194">
        <f>E$268*(E166-(E28+T74*$AD74))</f>
        <v>117.42012428577274</v>
      </c>
      <c r="G167" s="194">
        <f>F$268*(F166-(F28+U74*$AD74))</f>
        <v>125.15315632078745</v>
      </c>
      <c r="H167" s="194">
        <f>G$268*(G166-(G28+V74*$AD74))</f>
        <v>27.304969542931257</v>
      </c>
      <c r="I167" s="194">
        <f>H$268*(H166-(H28+W74*$AD74))</f>
        <v>5.3217821769373312</v>
      </c>
      <c r="J167" s="194">
        <f>I$268*(I166-(I28+X74*$AD74))</f>
        <v>10.292153251795941</v>
      </c>
      <c r="K167" s="194">
        <f>J$268*(J166-(J28+Y74*$AD74))</f>
        <v>6.1387877931634467</v>
      </c>
      <c r="L167" s="194">
        <f>K$268*(K166-(K28+Z74*$AD74))</f>
        <v>2.382739806640491E-6</v>
      </c>
      <c r="M167" s="712">
        <f>L$268*(L166-(L28+AA74*$AD74))+M$268*(M166-(M28+AB74*$AD74))</f>
        <v>3.8878625601041401</v>
      </c>
      <c r="N167" s="456">
        <f t="shared" si="70"/>
        <v>717.74086584477902</v>
      </c>
      <c r="O167" s="710">
        <f t="shared" si="71"/>
        <v>0.15420370899047084</v>
      </c>
      <c r="P167" s="498">
        <f t="shared" si="68"/>
        <v>1996</v>
      </c>
      <c r="Q167" s="458">
        <f>Q29*B292*B167</f>
        <v>3523.9802358916118</v>
      </c>
      <c r="R167" s="496">
        <f>R29*C292*C167</f>
        <v>11610.552148222518</v>
      </c>
      <c r="S167" s="496">
        <f>S29*D292*D167</f>
        <v>17477.999564679016</v>
      </c>
      <c r="T167" s="496">
        <f>T29*E292*E167</f>
        <v>19453.50368215832</v>
      </c>
      <c r="U167" s="496">
        <f>U29*F292*F167</f>
        <v>38870.096466312192</v>
      </c>
      <c r="V167" s="496">
        <f>V29*G292*G167</f>
        <v>45495.068582550492</v>
      </c>
      <c r="W167" s="496">
        <f>W29*H292*H167</f>
        <v>10736.566934804639</v>
      </c>
      <c r="X167" s="496">
        <f>X29*I292*I167</f>
        <v>2221.8359215897199</v>
      </c>
      <c r="Y167" s="496">
        <f>Y29*J292*J167</f>
        <v>4616.7317931447324</v>
      </c>
      <c r="Z167" s="496">
        <f>Z29*K292*K167</f>
        <v>2883.8973761405978</v>
      </c>
      <c r="AA167" s="496">
        <f>AA29*L292*L167</f>
        <v>1.1672171090687928E-3</v>
      </c>
      <c r="AB167" s="586">
        <f>AB29*M292*M167</f>
        <v>1964.8706343127885</v>
      </c>
      <c r="AC167" s="206">
        <f t="shared" si="63"/>
        <v>158855.10450702373</v>
      </c>
      <c r="AD167" s="200">
        <f t="shared" si="64"/>
        <v>175107.57024913732</v>
      </c>
      <c r="AE167" s="146"/>
      <c r="AG167" s="470">
        <v>24871</v>
      </c>
      <c r="AI167" s="716">
        <f t="shared" si="69"/>
        <v>1996</v>
      </c>
      <c r="AJ167" s="737">
        <f>[8]rankings!$M18</f>
        <v>94051</v>
      </c>
      <c r="AK167" s="497"/>
      <c r="AL167" s="494"/>
      <c r="AM167" s="395"/>
      <c r="AN167" s="162"/>
      <c r="AO167" s="735">
        <f>[8]rankings!$S18</f>
        <v>0.25</v>
      </c>
      <c r="AP167" s="738"/>
      <c r="AQ167" s="738"/>
    </row>
    <row r="168" spans="1:43" ht="11.25" customHeight="1">
      <c r="A168" s="473">
        <f t="shared" si="66"/>
        <v>1997</v>
      </c>
      <c r="B168" s="581">
        <f t="shared" si="67"/>
        <v>190.62940264807435</v>
      </c>
      <c r="C168" s="194">
        <f>B$268*(B167-(B29+Q75*$AD75))</f>
        <v>92.755761897617717</v>
      </c>
      <c r="D168" s="194">
        <f>C$268*(C167-(C29+R75*$AD75))</f>
        <v>108.83517036691046</v>
      </c>
      <c r="E168" s="194">
        <f>D$268*(D167-(D29+S75*$AD75))</f>
        <v>80.962987629923092</v>
      </c>
      <c r="F168" s="194">
        <f>E$268*(E167-(E29+T75*$AD75))</f>
        <v>58.754418302786661</v>
      </c>
      <c r="G168" s="194">
        <f>F$268*(F167-(F29+U75*$AD75))</f>
        <v>88.289390188577528</v>
      </c>
      <c r="H168" s="194">
        <f>G$268*(G167-(G29+V75*$AD75))</f>
        <v>86.268670425254967</v>
      </c>
      <c r="I168" s="194">
        <f>H$268*(H167-(H29+W75*$AD75))</f>
        <v>16.771917029459818</v>
      </c>
      <c r="J168" s="194">
        <f>I$268*(I167-(I29+X75*$AD75))</f>
        <v>2.3409999424729135</v>
      </c>
      <c r="K168" s="194">
        <f>J$268*(J167-(J29+Y75*$AD75))</f>
        <v>5.1116616080160941</v>
      </c>
      <c r="L168" s="194">
        <f>K$268*(K167-(K29+Z75*$AD75))</f>
        <v>2.1749123546950893</v>
      </c>
      <c r="M168" s="712">
        <f>L$268*(L167-(L29+AA75*$AD75))+M$268*(M167-(M29+AB75*$AD75))</f>
        <v>0.58506194630134256</v>
      </c>
      <c r="N168" s="456">
        <f t="shared" si="70"/>
        <v>733.48035434009</v>
      </c>
      <c r="O168" s="710">
        <f t="shared" si="71"/>
        <v>0.25989708043316717</v>
      </c>
      <c r="P168" s="498">
        <f t="shared" si="68"/>
        <v>1997</v>
      </c>
      <c r="Q168" s="458">
        <f>Q30*B293*B168</f>
        <v>6100.6523321593249</v>
      </c>
      <c r="R168" s="496">
        <f>R30*C293*C168</f>
        <v>7698.0424726240508</v>
      </c>
      <c r="S168" s="496">
        <f>S30*D293*D168</f>
        <v>17193.350363190806</v>
      </c>
      <c r="T168" s="496">
        <f>T30*E293*E168</f>
        <v>19063.922548775907</v>
      </c>
      <c r="U168" s="496">
        <f>U30*F293*F168</f>
        <v>18371.598809693878</v>
      </c>
      <c r="V168" s="496">
        <f>V30*G293*G168</f>
        <v>29867.71613634019</v>
      </c>
      <c r="W168" s="496">
        <f>W30*H293*H168</f>
        <v>31352.55307985354</v>
      </c>
      <c r="X168" s="496">
        <f>X30*I293*I168</f>
        <v>6288.0448553562519</v>
      </c>
      <c r="Y168" s="496">
        <f>Y30*J293*J168</f>
        <v>953.08372305805688</v>
      </c>
      <c r="Z168" s="496">
        <f>Z30*K293*K168</f>
        <v>2135.0864631074601</v>
      </c>
      <c r="AA168" s="496">
        <f>AA30*L293*L168</f>
        <v>917.27673392263569</v>
      </c>
      <c r="AB168" s="586">
        <f>AB30*M293*M168</f>
        <v>252.86616119938435</v>
      </c>
      <c r="AC168" s="206">
        <f t="shared" si="63"/>
        <v>140194.19367928145</v>
      </c>
      <c r="AD168" s="200">
        <f t="shared" si="64"/>
        <v>154537.46163460871</v>
      </c>
      <c r="AG168" s="470">
        <v>23813</v>
      </c>
      <c r="AI168" s="716">
        <f t="shared" si="69"/>
        <v>1997</v>
      </c>
      <c r="AJ168" s="590">
        <v>144887</v>
      </c>
      <c r="AK168" s="497">
        <f>144887/1.1023</f>
        <v>131440.62414950557</v>
      </c>
      <c r="AL168" s="496">
        <f>(AK168-AC168)</f>
        <v>-8753.5695297758793</v>
      </c>
      <c r="AM168" s="395">
        <f>LN(AK168)-LN(AC168)</f>
        <v>-6.447333691866497E-2</v>
      </c>
      <c r="AN168" s="162">
        <f>AM168^2</f>
        <v>4.156811173427687E-3</v>
      </c>
      <c r="AO168" s="735">
        <f>[8]rankings!$S19</f>
        <v>0.75</v>
      </c>
      <c r="AP168" s="738"/>
      <c r="AQ168" s="738"/>
    </row>
    <row r="169" spans="1:43" ht="11.25" customHeight="1">
      <c r="A169" s="473">
        <v>1998</v>
      </c>
      <c r="B169" s="581">
        <f t="shared" si="67"/>
        <v>35.037265011887328</v>
      </c>
      <c r="C169" s="194">
        <f>B$268*(B168-(B30+Q76*$AD76))</f>
        <v>159.31880955144189</v>
      </c>
      <c r="D169" s="194">
        <f>C$268*(C168-(C30+R76*$AD76))</f>
        <v>75.367094053267067</v>
      </c>
      <c r="E169" s="194">
        <f>D$268*(D168-(D30+S76*$AD76))</f>
        <v>84.880230042419115</v>
      </c>
      <c r="F169" s="194">
        <f>E$268*(E168-(E30+T76*$AD76))</f>
        <v>61.030084756984017</v>
      </c>
      <c r="G169" s="194">
        <f>F$268*(F168-(F30+U76*$AD76))</f>
        <v>43.48940302366249</v>
      </c>
      <c r="H169" s="194">
        <f>G$268*(G168-(G30+V76*$AD76))</f>
        <v>59.60792711480299</v>
      </c>
      <c r="I169" s="194">
        <f>H$268*(H168-(H30+W76*$AD76))</f>
        <v>54.603462151332117</v>
      </c>
      <c r="J169" s="194">
        <f>I$268*(I168-(I30+X76*$AD76))</f>
        <v>8.8357179048464065</v>
      </c>
      <c r="K169" s="194">
        <f>J$268*(J168-(J30+Y76*$AD76))</f>
        <v>0.91490420043878962</v>
      </c>
      <c r="L169" s="194">
        <f>K$268*(K168-(K30+Z76*$AD76))</f>
        <v>2.2144725294009855</v>
      </c>
      <c r="M169" s="712">
        <f>L$268*(L168-(L30+AA76*$AD76))+M$268*(M168-(M30+AB76*$AD76))</f>
        <v>0.37914867433898736</v>
      </c>
      <c r="N169" s="456">
        <f t="shared" si="70"/>
        <v>585.6785190148222</v>
      </c>
      <c r="O169" s="710">
        <f t="shared" si="71"/>
        <v>5.982337387210989E-2</v>
      </c>
      <c r="P169" s="498">
        <v>1998</v>
      </c>
      <c r="Q169" s="458">
        <f>Q31*B294*B169</f>
        <v>1310.3874082506859</v>
      </c>
      <c r="R169" s="496">
        <f>R31*C294*C169</f>
        <v>14542.813722385128</v>
      </c>
      <c r="S169" s="496">
        <f>S31*D294*D169</f>
        <v>12768.739144189693</v>
      </c>
      <c r="T169" s="496">
        <f>T31*E294*E169</f>
        <v>21305.115479782235</v>
      </c>
      <c r="U169" s="496">
        <f>U31*F294*F169</f>
        <v>19614.250306850001</v>
      </c>
      <c r="V169" s="496">
        <f>V31*G294*G169</f>
        <v>15355.739653392313</v>
      </c>
      <c r="W169" s="496">
        <f>W31*H294*H169</f>
        <v>22866.289226748413</v>
      </c>
      <c r="X169" s="496">
        <f>X31*I294*I169</f>
        <v>21622.484024528178</v>
      </c>
      <c r="Y169" s="496">
        <f>Y31*J294*J169</f>
        <v>3612.6953226261699</v>
      </c>
      <c r="Z169" s="496">
        <f>Z31*K294*K169</f>
        <v>387.41618367580543</v>
      </c>
      <c r="AA169" s="496">
        <f>AA31*L294*L169</f>
        <v>967.04693285789165</v>
      </c>
      <c r="AB169" s="586">
        <f>AB31*M294*M169</f>
        <v>170.28514836249769</v>
      </c>
      <c r="AC169" s="206">
        <f t="shared" si="63"/>
        <v>134523.26255364902</v>
      </c>
      <c r="AD169" s="200">
        <f t="shared" si="64"/>
        <v>148286.33754551286</v>
      </c>
      <c r="AG169" s="470">
        <v>22776</v>
      </c>
      <c r="AI169" s="634">
        <v>1998</v>
      </c>
      <c r="AJ169" s="737">
        <f>[8]rankings!$M20</f>
        <v>9872</v>
      </c>
      <c r="AK169" s="499"/>
      <c r="AL169" s="496"/>
      <c r="AM169" s="395"/>
      <c r="AN169" s="162"/>
      <c r="AO169" s="735">
        <f>[8]rankings!$S20</f>
        <v>0.25</v>
      </c>
      <c r="AP169" s="738"/>
      <c r="AQ169" s="738"/>
    </row>
    <row r="170" spans="1:43" ht="11.25" customHeight="1">
      <c r="A170" s="473">
        <v>1999</v>
      </c>
      <c r="B170" s="581">
        <f t="shared" si="67"/>
        <v>35.491278762404477</v>
      </c>
      <c r="C170" s="194">
        <f>B$268*(B169-(B31+Q77*$AD77))</f>
        <v>29.31833794676195</v>
      </c>
      <c r="D170" s="194">
        <f>C$268*(C169-(C31+R77*$AD77))</f>
        <v>129.8536009598611</v>
      </c>
      <c r="E170" s="194">
        <f>D$268*(D169-(D31+S77*$AD77))</f>
        <v>58.967707625338413</v>
      </c>
      <c r="F170" s="194">
        <f>E$268*(E169-(E31+T77*$AD77))</f>
        <v>63.339896357766541</v>
      </c>
      <c r="G170" s="194">
        <f>F$268*(F169-(F31+U77*$AD77))</f>
        <v>44.554585745071286</v>
      </c>
      <c r="H170" s="194">
        <f>G$268*(G169-(G31+V77*$AD77))</f>
        <v>29.287186093145316</v>
      </c>
      <c r="I170" s="194">
        <f>H$268*(H169-(H31+W77*$AD77))</f>
        <v>37.877347881124571</v>
      </c>
      <c r="J170" s="194">
        <f>I$268*(I169-(I31+X77*$AD77))</f>
        <v>31.561615368452962</v>
      </c>
      <c r="K170" s="194">
        <f>J$268*(J169-(J31+Y77*$AD77))</f>
        <v>3.6060990287226029</v>
      </c>
      <c r="L170" s="194">
        <f>K$268*(K169-(K31+Z77*$AD77))</f>
        <v>2.0145840742359514E-6</v>
      </c>
      <c r="M170" s="712">
        <f>L$268*(L169-(L31+AA77*$AD77))+M$268*(M169-(M31+AB77*$AD77))</f>
        <v>0.83342188987186816</v>
      </c>
      <c r="N170" s="456">
        <f t="shared" si="70"/>
        <v>464.69107967310521</v>
      </c>
      <c r="O170" s="710">
        <f t="shared" si="71"/>
        <v>7.6376070716423938E-2</v>
      </c>
      <c r="P170" s="498">
        <v>1999</v>
      </c>
      <c r="Q170" s="458">
        <f>Q32*B295*B170</f>
        <v>1214.0798239668507</v>
      </c>
      <c r="R170" s="496">
        <f>R32*C295*C170</f>
        <v>2643.8945914567112</v>
      </c>
      <c r="S170" s="496">
        <f>S32*D295*D170</f>
        <v>21899.180832423244</v>
      </c>
      <c r="T170" s="496">
        <f>T32*E295*E170</f>
        <v>13755.482118529329</v>
      </c>
      <c r="U170" s="496">
        <f>U32*F295*F170</f>
        <v>19183.707086965678</v>
      </c>
      <c r="V170" s="496">
        <f>V32*G295*G170</f>
        <v>14652.217600841204</v>
      </c>
      <c r="W170" s="496">
        <f>W32*H295*H170</f>
        <v>10126.439543384673</v>
      </c>
      <c r="X170" s="496">
        <f>X32*I295*I170</f>
        <v>13972.860197763845</v>
      </c>
      <c r="Y170" s="496">
        <f>Y32*J295*J170</f>
        <v>12087.907981492901</v>
      </c>
      <c r="Z170" s="496">
        <f>Z32*K295*K170</f>
        <v>1410.0854492536864</v>
      </c>
      <c r="AA170" s="496">
        <f>AA32*L295*L170</f>
        <v>8.3022230659308548E-4</v>
      </c>
      <c r="AB170" s="586">
        <f>AB32*M295*M170</f>
        <v>351.57902424244759</v>
      </c>
      <c r="AC170" s="206">
        <f t="shared" si="63"/>
        <v>111297.43508054287</v>
      </c>
      <c r="AD170" s="200">
        <f t="shared" si="64"/>
        <v>122684.27566363319</v>
      </c>
      <c r="AG170" s="470">
        <v>19878</v>
      </c>
      <c r="AI170" s="634">
        <v>1999</v>
      </c>
      <c r="AJ170" s="590">
        <v>157028</v>
      </c>
      <c r="AK170" s="497">
        <f>+AJ170/1.1023</f>
        <v>142454.86709607183</v>
      </c>
      <c r="AL170" s="496">
        <f>(AK170-AC170)</f>
        <v>31157.432015528961</v>
      </c>
      <c r="AM170" s="395">
        <f>LN(AK170)-LN(AC170)</f>
        <v>0.24681901449131871</v>
      </c>
      <c r="AN170" s="162">
        <f>AM170^2</f>
        <v>6.0919625914465793E-2</v>
      </c>
      <c r="AO170" s="735">
        <f>[8]rankings!$S21</f>
        <v>0.75</v>
      </c>
      <c r="AP170" s="738"/>
      <c r="AQ170" s="738"/>
    </row>
    <row r="171" spans="1:43" ht="11.25" customHeight="1">
      <c r="A171" s="473">
        <v>2000</v>
      </c>
      <c r="B171" s="581">
        <f>+B237</f>
        <v>262.74038655478529</v>
      </c>
      <c r="C171" s="194">
        <f>B$268*(B170-(B32+Q78*$AD78))</f>
        <v>29.665511539969241</v>
      </c>
      <c r="D171" s="194">
        <f>C$268*(C170-(C32+R78*$AD78))</f>
        <v>23.834309028866659</v>
      </c>
      <c r="E171" s="194">
        <f>D$268*(D170-(D32+S78*$AD78))</f>
        <v>101.13945032805235</v>
      </c>
      <c r="F171" s="194">
        <f>E$268*(E170-(E32+T78*$AD78))</f>
        <v>44.271313375210241</v>
      </c>
      <c r="G171" s="194">
        <f>F$268*(F170-(F32+U78*$AD78))</f>
        <v>46.019082843837438</v>
      </c>
      <c r="H171" s="194">
        <f>G$268*(G170-(G32+V78*$AD78))</f>
        <v>29.922930436126332</v>
      </c>
      <c r="I171" s="194">
        <f>H$268*(H170-(H32+W78*$AD78))</f>
        <v>18.157782878303891</v>
      </c>
      <c r="J171" s="194">
        <f>I$268*(I170-(I32+X78*$AD78))</f>
        <v>21.634103333006809</v>
      </c>
      <c r="K171" s="194">
        <f>J$268*(J170-(J32+Y78*$AD78))</f>
        <v>16.497397592713732</v>
      </c>
      <c r="L171" s="194">
        <f>K$268*(K170-(K32+Z78*$AD78))</f>
        <v>1.101627194056755</v>
      </c>
      <c r="M171" s="712">
        <f>L$268*(L170-(L32+AA78*$AD78))+M$268*(M170-(M32+AB78*$AD78))</f>
        <v>3.5192222758440028E-6</v>
      </c>
      <c r="N171" s="456">
        <f t="shared" si="70"/>
        <v>594.98389862415104</v>
      </c>
      <c r="O171" s="710">
        <f t="shared" si="71"/>
        <v>0.44159243159747646</v>
      </c>
      <c r="P171" s="498">
        <v>2000</v>
      </c>
      <c r="Q171" s="458">
        <f>Q33*B296*B171</f>
        <v>7812.8105536002413</v>
      </c>
      <c r="R171" s="496">
        <f>R33*C296*C171</f>
        <v>2231.5913100496955</v>
      </c>
      <c r="S171" s="496">
        <f>S33*D296*D171</f>
        <v>4015.437549236603</v>
      </c>
      <c r="T171" s="496">
        <f>T33*E296*E171</f>
        <v>26477.094818477282</v>
      </c>
      <c r="U171" s="496">
        <f>U33*F296*F171</f>
        <v>14304.742448659279</v>
      </c>
      <c r="V171" s="496">
        <f>V33*G296*G171</f>
        <v>16157.729777450048</v>
      </c>
      <c r="W171" s="496">
        <f>W33*H296*H171</f>
        <v>11112.316593524372</v>
      </c>
      <c r="X171" s="496">
        <f>X33*I296*I171</f>
        <v>7130.3485144158531</v>
      </c>
      <c r="Y171" s="496">
        <f>Y33*J296*J171</f>
        <v>8827.013593822945</v>
      </c>
      <c r="Z171" s="496">
        <f>Z33*K296*K171</f>
        <v>7103.1138834060084</v>
      </c>
      <c r="AA171" s="496">
        <f>AA33*L296*L171</f>
        <v>489.21391357256363</v>
      </c>
      <c r="AB171" s="586">
        <f>AB33*M296*M171</f>
        <v>1.5532257799386337E-3</v>
      </c>
      <c r="AC171" s="206">
        <f t="shared" si="63"/>
        <v>105661.41450944067</v>
      </c>
      <c r="AD171" s="200">
        <f t="shared" si="64"/>
        <v>116471.63382790155</v>
      </c>
      <c r="AG171" s="470">
        <v>20421</v>
      </c>
      <c r="AI171" s="634">
        <v>2000</v>
      </c>
      <c r="AJ171" s="737">
        <f>[8]rankings!$M22</f>
        <v>93214</v>
      </c>
      <c r="AK171" s="497">
        <f>+AJ171/1.1023</f>
        <v>84563.186065499409</v>
      </c>
      <c r="AL171" s="17"/>
      <c r="AM171" s="739"/>
      <c r="AN171" s="740"/>
      <c r="AO171" s="735">
        <f>[8]rankings!$S22</f>
        <v>0.25</v>
      </c>
      <c r="AP171" s="738"/>
      <c r="AQ171" s="738"/>
    </row>
    <row r="172" spans="1:43" ht="11.25" customHeight="1">
      <c r="A172" s="473">
        <v>2001</v>
      </c>
      <c r="B172" s="581">
        <f t="shared" si="67"/>
        <v>393.57195229328767</v>
      </c>
      <c r="C172" s="194">
        <f>B$268*(B171-(B33+Q79*$AD79))</f>
        <v>219.34092903653541</v>
      </c>
      <c r="D172" s="194">
        <f>C$268*(C171-(C33+R79*$AD79))</f>
        <v>24.041755436794389</v>
      </c>
      <c r="E172" s="194">
        <f>D$268*(D171-(D33+S79*$AD79))</f>
        <v>18.439388542027839</v>
      </c>
      <c r="F172" s="194">
        <f>E$268*(E171-(E33+T79*$AD79))</f>
        <v>74.336556013940196</v>
      </c>
      <c r="G172" s="194">
        <f>F$268*(F171-(F33+U79*$AD79))</f>
        <v>31.128271277095841</v>
      </c>
      <c r="H172" s="194">
        <f>G$268*(G171-(G33+V79*$AD79))</f>
        <v>30.163462502883881</v>
      </c>
      <c r="I172" s="194">
        <f>H$268*(H171-(H33+W79*$AD79))</f>
        <v>18.565029928438879</v>
      </c>
      <c r="J172" s="194">
        <f>I$268*(I171-(I33+X79*$AD79))</f>
        <v>9.4621717092023232</v>
      </c>
      <c r="K172" s="194">
        <f>J$268*(J171-(J33+Y79*$AD79))</f>
        <v>11.515788720599666</v>
      </c>
      <c r="L172" s="194">
        <f>K$268*(K171-(K33+Z79*$AD79))</f>
        <v>7.8874091700109368</v>
      </c>
      <c r="M172" s="712">
        <f>L$268*(L171-(L33+AA79*$AD79))+M$268*(M171-(M33+AB79*$AD79))</f>
        <v>5.345785278887405E-6</v>
      </c>
      <c r="N172" s="456">
        <f t="shared" si="70"/>
        <v>838.45271997660234</v>
      </c>
      <c r="O172" s="710">
        <f t="shared" si="71"/>
        <v>0.46940267819069226</v>
      </c>
      <c r="P172" s="498">
        <v>2001</v>
      </c>
      <c r="Q172" s="458">
        <f>Q34*B297*B172</f>
        <v>12975.512887670249</v>
      </c>
      <c r="R172" s="496">
        <f>R34*C297*C172</f>
        <v>19112.740100944251</v>
      </c>
      <c r="S172" s="496">
        <f>S34*D297*D172</f>
        <v>4026.0671128617068</v>
      </c>
      <c r="T172" s="496">
        <f>T34*E297*E172</f>
        <v>4929.7485399451898</v>
      </c>
      <c r="U172" s="496">
        <f>U34*F297*F172</f>
        <v>26583.107017223581</v>
      </c>
      <c r="V172" s="496">
        <f>V34*G297*G172</f>
        <v>11941.787859934295</v>
      </c>
      <c r="W172" s="496">
        <f>W34*H297*H172</f>
        <v>12431.384451774929</v>
      </c>
      <c r="X172" s="496">
        <f>X34*I297*I172</f>
        <v>7992.4281908333705</v>
      </c>
      <c r="Y172" s="496">
        <f>Y34*J297*J172</f>
        <v>4274.8317624980618</v>
      </c>
      <c r="Z172" s="496">
        <f>Z34*K297*K172</f>
        <v>5415.2821976972646</v>
      </c>
      <c r="AA172" s="496">
        <f>AA34*L297*L172</f>
        <v>3857.9542904391956</v>
      </c>
      <c r="AB172" s="586">
        <f>AB34*M297*M172</f>
        <v>2.7207374176897448E-3</v>
      </c>
      <c r="AC172" s="206">
        <f t="shared" si="63"/>
        <v>113540.8471325595</v>
      </c>
      <c r="AD172" s="200">
        <f t="shared" si="64"/>
        <v>125157.21120269166</v>
      </c>
      <c r="AF172" s="198"/>
      <c r="AG172" s="470">
        <v>22330</v>
      </c>
      <c r="AI172" s="634">
        <v>2001</v>
      </c>
      <c r="AJ172" s="591">
        <v>115155</v>
      </c>
      <c r="AK172" s="497">
        <f>+AJ172/1.1023</f>
        <v>104467.93069037466</v>
      </c>
      <c r="AL172" s="496">
        <f>(AK172-AC172)</f>
        <v>-9072.91644218484</v>
      </c>
      <c r="AM172" s="395">
        <f>LN(AK172)-LN(AC172)</f>
        <v>-8.3282517847438342E-2</v>
      </c>
      <c r="AN172" s="162">
        <f>AM172^2</f>
        <v>6.9359777790088863E-3</v>
      </c>
      <c r="AO172" s="735">
        <f>[8]rankings!$S23</f>
        <v>0.5</v>
      </c>
      <c r="AP172" s="738"/>
      <c r="AQ172" s="738"/>
    </row>
    <row r="173" spans="1:43" ht="11.25" customHeight="1">
      <c r="A173" s="473">
        <v>2002</v>
      </c>
      <c r="B173" s="581">
        <f t="shared" si="67"/>
        <v>192.23754970676936</v>
      </c>
      <c r="C173" s="194">
        <f>B$268*(B172-(B34+Q80*$AD80))</f>
        <v>328.42503351123418</v>
      </c>
      <c r="D173" s="194">
        <f>C$268*(C172-(C34+R80*$AD80))</f>
        <v>177.48735941803284</v>
      </c>
      <c r="E173" s="194">
        <f>D$268*(D172-(D34+S80*$AD80))</f>
        <v>18.56055146700772</v>
      </c>
      <c r="F173" s="194">
        <f>E$268*(E172-(E34+T80*$AD80))</f>
        <v>13.27408747361722</v>
      </c>
      <c r="G173" s="194">
        <f>F$268*(F172-(F34+U80*$AD80))</f>
        <v>48.591596214431362</v>
      </c>
      <c r="H173" s="194">
        <f>G$268*(G172-(G34+V80*$AD80))</f>
        <v>19.921636907846345</v>
      </c>
      <c r="I173" s="194">
        <f>H$268*(H172-(H34+W80*$AD80))</f>
        <v>17.735272590048179</v>
      </c>
      <c r="J173" s="194">
        <f>I$268*(I172-(I34+X80*$AD80))</f>
        <v>10.414505942120721</v>
      </c>
      <c r="K173" s="194">
        <f>J$268*(J172-(J34+Y80*$AD80))</f>
        <v>4.6539907352190477</v>
      </c>
      <c r="L173" s="194">
        <f>K$268*(K172-(K34+Z80*$AD80))</f>
        <v>5.7536759059157294</v>
      </c>
      <c r="M173" s="712">
        <f>L$268*(L172-(L34+AA80*$AD80))+M$268*(M172-(M34+AB80*$AD80))</f>
        <v>3.6342872800919763</v>
      </c>
      <c r="N173" s="456">
        <f t="shared" si="70"/>
        <v>840.68954715233474</v>
      </c>
      <c r="O173" s="710">
        <f t="shared" si="71"/>
        <v>0.22866651590701353</v>
      </c>
      <c r="P173" s="498">
        <v>2002</v>
      </c>
      <c r="Q173" s="458">
        <f>Q35*B298*B173</f>
        <v>6654.9226117190101</v>
      </c>
      <c r="R173" s="496">
        <f>R35*C298*C173</f>
        <v>28709.717593058573</v>
      </c>
      <c r="S173" s="496">
        <f>S35*D298*D173</f>
        <v>31059.078205562579</v>
      </c>
      <c r="T173" s="496">
        <f>T35*E298*E173</f>
        <v>4910.206371843994</v>
      </c>
      <c r="U173" s="496">
        <f>U35*F298*F173</f>
        <v>4842.1838707587413</v>
      </c>
      <c r="V173" s="496">
        <f>V35*G298*G173</f>
        <v>19899.473439715002</v>
      </c>
      <c r="W173" s="496">
        <f>W35*H298*H173</f>
        <v>8609.2323534452607</v>
      </c>
      <c r="X173" s="496">
        <f>X35*I298*I173</f>
        <v>8035.2808746538622</v>
      </c>
      <c r="Y173" s="496">
        <f>Y35*J298*J173</f>
        <v>4877.9362146163658</v>
      </c>
      <c r="Z173" s="496">
        <f>Z35*K298*K173</f>
        <v>2237.4552078305205</v>
      </c>
      <c r="AA173" s="496">
        <f>AA35*L298*L173</f>
        <v>2855.0642382550855</v>
      </c>
      <c r="AB173" s="586">
        <f>AB35*M298*M173</f>
        <v>1841.6355760639995</v>
      </c>
      <c r="AC173" s="602">
        <f t="shared" si="63"/>
        <v>124532.186557523</v>
      </c>
      <c r="AD173" s="207">
        <f t="shared" si="64"/>
        <v>137273.07456422318</v>
      </c>
      <c r="AF173" s="198"/>
      <c r="AG173" s="469">
        <v>17049</v>
      </c>
      <c r="AI173" s="634">
        <v>2002</v>
      </c>
      <c r="AJ173" s="737">
        <f>[8]rankings!$M24</f>
        <v>61377</v>
      </c>
      <c r="AK173" s="497"/>
      <c r="AL173" s="496"/>
      <c r="AM173" s="395"/>
      <c r="AN173" s="162"/>
      <c r="AO173" s="735">
        <f>[8]rankings!$S24</f>
        <v>0.25</v>
      </c>
      <c r="AP173" s="738"/>
      <c r="AQ173" s="738"/>
    </row>
    <row r="174" spans="1:43" ht="11.25" customHeight="1">
      <c r="A174" s="473">
        <v>2003</v>
      </c>
      <c r="B174" s="581">
        <f t="shared" si="67"/>
        <v>67.761139380810974</v>
      </c>
      <c r="C174" s="194">
        <f>B$268*(B173-(B35+Q81*$AD81))</f>
        <v>161.39292738191091</v>
      </c>
      <c r="D174" s="194">
        <f>C$268*(C173-(C35+R81*$AD81))</f>
        <v>270.09538889698558</v>
      </c>
      <c r="E174" s="194">
        <f>D$268*(D173-(D35+S81*$AD81))</f>
        <v>141.18287579566297</v>
      </c>
      <c r="F174" s="194">
        <f>E$268*(E173-(E35+T81*$AD81))</f>
        <v>13.93064682689381</v>
      </c>
      <c r="G174" s="194">
        <f>F$268*(F173-(F35+U81*$AD81))</f>
        <v>8.9217180320763294</v>
      </c>
      <c r="H174" s="194">
        <f>G$268*(G173-(G35+V81*$AD81))</f>
        <v>31.815194091759523</v>
      </c>
      <c r="I174" s="194">
        <f>H$268*(H173-(H35+W81*$AD81))</f>
        <v>12.207797137587701</v>
      </c>
      <c r="J174" s="194">
        <f>I$268*(I173-(I35+X81*$AD81))</f>
        <v>10.425445970539933</v>
      </c>
      <c r="K174" s="194">
        <f>J$268*(J173-(J35+Y81*$AD81))</f>
        <v>5.6883207952759065</v>
      </c>
      <c r="L174" s="194">
        <f>K$268*(K173-(K35+Z81*$AD81))</f>
        <v>2.3614308655017169</v>
      </c>
      <c r="M174" s="712">
        <f>L$268*(L173-(L35+AA81*$AD81))+M$268*(M173-(M35+AB81*$AD81))</f>
        <v>4.3256516124313373</v>
      </c>
      <c r="N174" s="456">
        <f t="shared" si="70"/>
        <v>730.10853678743672</v>
      </c>
      <c r="O174" s="710">
        <f t="shared" si="71"/>
        <v>9.280967961142865E-2</v>
      </c>
      <c r="P174" s="498">
        <v>2003</v>
      </c>
      <c r="Q174" s="458">
        <f>Q36*B299*B174</f>
        <v>2656.2238868237268</v>
      </c>
      <c r="R174" s="496">
        <f>R36*C299*C174</f>
        <v>15285.517825370554</v>
      </c>
      <c r="S174" s="496">
        <f>S36*D299*D174</f>
        <v>49654.539474892539</v>
      </c>
      <c r="T174" s="496">
        <f>T36*E299*E174</f>
        <v>38770.237258709371</v>
      </c>
      <c r="U174" s="496">
        <f>U36*F299*F174</f>
        <v>5191.9169531056086</v>
      </c>
      <c r="V174" s="496">
        <f>V36*G299*G174</f>
        <v>3827.9528746815904</v>
      </c>
      <c r="W174" s="496">
        <f>W36*H299*H174</f>
        <v>14817.621798816257</v>
      </c>
      <c r="X174" s="496">
        <f>X36*I299*I174</f>
        <v>5990.7542727178934</v>
      </c>
      <c r="Y174" s="496">
        <f>Y36*J299*J174</f>
        <v>5300.9230509903136</v>
      </c>
      <c r="Z174" s="496">
        <f>Z36*K299*K174</f>
        <v>2992.0890583196456</v>
      </c>
      <c r="AA174" s="496">
        <f>AA36*L299*L174</f>
        <v>1257.0683640687473</v>
      </c>
      <c r="AB174" s="586">
        <f>AB36*M299*M174</f>
        <v>2367.8325309486504</v>
      </c>
      <c r="AC174" s="602">
        <f t="shared" si="63"/>
        <v>148112.67734944489</v>
      </c>
      <c r="AD174" s="207">
        <f t="shared" si="64"/>
        <v>163266.0853690666</v>
      </c>
      <c r="AF174" s="198"/>
      <c r="AG174" s="469">
        <v>21663</v>
      </c>
      <c r="AI174" s="634">
        <v>2003</v>
      </c>
      <c r="AJ174" s="737">
        <f>[8]rankings!$M25</f>
        <v>47074</v>
      </c>
      <c r="AK174" s="497"/>
      <c r="AL174" s="496"/>
      <c r="AM174" s="395"/>
      <c r="AN174" s="162"/>
      <c r="AO174" s="735">
        <f>[8]rankings!$S25</f>
        <v>0.25</v>
      </c>
      <c r="AP174" s="738"/>
      <c r="AQ174" s="738"/>
    </row>
    <row r="175" spans="1:43" ht="11.25" customHeight="1">
      <c r="A175" s="473">
        <v>2004</v>
      </c>
      <c r="B175" s="581">
        <f t="shared" si="67"/>
        <v>60.796839150630049</v>
      </c>
      <c r="C175" s="194">
        <f>B$268*(B174-(B36+Q82*$AD82))</f>
        <v>56.86028311706594</v>
      </c>
      <c r="D175" s="194">
        <f>C$268*(C174-(C36+R82*$AD82))</f>
        <v>132.56120900552813</v>
      </c>
      <c r="E175" s="194">
        <f>D$268*(D174-(D36+S82*$AD82))</f>
        <v>213.99484826990926</v>
      </c>
      <c r="F175" s="194">
        <f>E$268*(E174-(E36+T82*$AD82))</f>
        <v>106.05735448829014</v>
      </c>
      <c r="G175" s="194">
        <f>F$268*(F174-(F36+U82*$AD82))</f>
        <v>9.4383770727369036</v>
      </c>
      <c r="H175" s="194">
        <f>G$268*(G174-(G36+V82*$AD82))</f>
        <v>5.0328437891419062</v>
      </c>
      <c r="I175" s="194">
        <f>H$268*(H174-(H36+W82*$AD82))</f>
        <v>19.597619835253493</v>
      </c>
      <c r="J175" s="194">
        <f>I$268*(I174-(I36+X82*$AD82))</f>
        <v>7.0147297949202914</v>
      </c>
      <c r="K175" s="194">
        <f>J$268*(J174-(J36+Y82*$AD82))</f>
        <v>5.6279369214906367</v>
      </c>
      <c r="L175" s="194">
        <f>K$268*(K174-(K36+Z82*$AD82))</f>
        <v>2.7909814990536503</v>
      </c>
      <c r="M175" s="712">
        <f>L$268*(L174-(L36+AA82*$AD82))+M$268*(M174-(M36+AB82*$AD82))</f>
        <v>2.9838080656891015</v>
      </c>
      <c r="N175" s="456">
        <f t="shared" si="70"/>
        <v>622.75683100970946</v>
      </c>
      <c r="O175" s="710">
        <f t="shared" si="71"/>
        <v>9.7625326810236404E-2</v>
      </c>
      <c r="P175" s="498">
        <v>2004</v>
      </c>
      <c r="Q175" s="458">
        <f>Q37*B300*B175</f>
        <v>1988.0470773695092</v>
      </c>
      <c r="R175" s="496">
        <f>R37*C300*C175</f>
        <v>5679.9854459760872</v>
      </c>
      <c r="S175" s="496">
        <f>S37*D300*D175</f>
        <v>24431.301912318846</v>
      </c>
      <c r="T175" s="496">
        <f>T37*E300*E175</f>
        <v>55680.772725388917</v>
      </c>
      <c r="U175" s="496">
        <f>U37*F300*F175</f>
        <v>37362.401757333195</v>
      </c>
      <c r="V175" s="496">
        <f>V37*G300*G175</f>
        <v>3726.6773380277982</v>
      </c>
      <c r="W175" s="496">
        <f>W37*H300*H175</f>
        <v>2251.1278616372383</v>
      </c>
      <c r="X175" s="496">
        <f>X37*I300*I175</f>
        <v>9390.8890899448033</v>
      </c>
      <c r="Y175" s="496">
        <f>Y37*J300*J175</f>
        <v>3462.5611394151711</v>
      </c>
      <c r="Z175" s="496">
        <f>Z37*K300*K175</f>
        <v>2836.5343232093719</v>
      </c>
      <c r="AA175" s="496">
        <f>AA37*L300*L175</f>
        <v>1419.4704068962453</v>
      </c>
      <c r="AB175" s="586">
        <f>AB37*M300*M175</f>
        <v>1586.6399389301798</v>
      </c>
      <c r="AC175" s="602">
        <f t="shared" si="63"/>
        <v>149816.40901644735</v>
      </c>
      <c r="AD175" s="207">
        <f t="shared" si="64"/>
        <v>165144.12582292006</v>
      </c>
      <c r="AF175" s="198"/>
      <c r="AG175" s="469">
        <v>18868</v>
      </c>
      <c r="AI175" s="634">
        <v>2004</v>
      </c>
      <c r="AJ175" s="737">
        <f>[8]rankings!$M26</f>
        <v>53625</v>
      </c>
      <c r="AK175" s="497"/>
      <c r="AL175" s="496"/>
      <c r="AM175" s="395"/>
      <c r="AN175" s="162"/>
      <c r="AO175" s="735">
        <f>[8]rankings!$S26</f>
        <v>0.25</v>
      </c>
      <c r="AP175" s="738"/>
      <c r="AQ175" s="738"/>
    </row>
    <row r="176" spans="1:43" ht="11.25" customHeight="1">
      <c r="A176" s="473">
        <v>2005</v>
      </c>
      <c r="B176" s="581">
        <f t="shared" si="67"/>
        <v>132.19551366775022</v>
      </c>
      <c r="C176" s="194">
        <f>B$268*(B175-(B37+Q83*$AD83))</f>
        <v>51.085206914476721</v>
      </c>
      <c r="D176" s="194">
        <f>C$268*(C175-(C37+R83*$AD83))</f>
        <v>46.880859418926484</v>
      </c>
      <c r="E176" s="194">
        <f>D$268*(D175-(D37+S83*$AD83))</f>
        <v>106.27488007819093</v>
      </c>
      <c r="F176" s="194">
        <f>E$268*(E175-(E37+T83*$AD83))</f>
        <v>167.12198554593274</v>
      </c>
      <c r="G176" s="194">
        <f>F$268*(F175-(F37+U83*$AD83))</f>
        <v>80.267445122057282</v>
      </c>
      <c r="H176" s="194">
        <f>G$268*(G175-(G37+V83*$AD83))</f>
        <v>5.7884776942972085</v>
      </c>
      <c r="I176" s="194">
        <f>H$268*(H175-(H37+W83*$AD83))</f>
        <v>2.0348134349049358</v>
      </c>
      <c r="J176" s="194">
        <f>I$268*(I175-(I37+X83*$AD83))</f>
        <v>11.827518898566753</v>
      </c>
      <c r="K176" s="194">
        <f>J$268*(J175-(J37+Y83*$AD83))</f>
        <v>3.4044032606155299</v>
      </c>
      <c r="L176" s="194">
        <f>K$268*(K175-(K37+Z83*$AD83))</f>
        <v>2.869455732864052</v>
      </c>
      <c r="M176" s="712">
        <f>L$268*(L175-(L37+AA83*$AD83))+M$268*(M175-(M37+AB83*$AD83))</f>
        <v>2.561396832979089</v>
      </c>
      <c r="N176" s="456">
        <f t="shared" si="70"/>
        <v>612.31195660156175</v>
      </c>
      <c r="O176" s="710">
        <f t="shared" si="71"/>
        <v>0.21589569212637688</v>
      </c>
      <c r="P176" s="498">
        <v>2005</v>
      </c>
      <c r="Q176" s="458">
        <f>Q38*B301*B176</f>
        <v>4983.7468925751054</v>
      </c>
      <c r="R176" s="496">
        <f>R38*C301*C176</f>
        <v>4813.3199887166147</v>
      </c>
      <c r="S176" s="496">
        <f>S38*D301*D176</f>
        <v>9074.0659763760941</v>
      </c>
      <c r="T176" s="496">
        <f>T38*E301*E176</f>
        <v>27762.178249189659</v>
      </c>
      <c r="U176" s="496">
        <f>U38*F301*F176</f>
        <v>56900.72029085127</v>
      </c>
      <c r="V176" s="496">
        <f>V38*G301*G176</f>
        <v>30517.6233974393</v>
      </c>
      <c r="W176" s="496">
        <f>W38*H301*H176</f>
        <v>2434.5242064812437</v>
      </c>
      <c r="X176" s="496">
        <f>X38*I301*I176</f>
        <v>927.42920527852868</v>
      </c>
      <c r="Y176" s="496">
        <f>Y38*J301*J176</f>
        <v>5634.0292404125121</v>
      </c>
      <c r="Z176" s="496">
        <f>Z38*K301*K176</f>
        <v>1608.2401003147763</v>
      </c>
      <c r="AA176" s="496">
        <f>AA38*L301*L176</f>
        <v>1413.017456075828</v>
      </c>
      <c r="AB176" s="586">
        <f>AB38*M301*M176</f>
        <v>1281.5919270126767</v>
      </c>
      <c r="AC176" s="602">
        <f t="shared" si="63"/>
        <v>147350.48693072362</v>
      </c>
      <c r="AD176" s="207">
        <f t="shared" si="64"/>
        <v>162425.91524860595</v>
      </c>
      <c r="AF176" s="198"/>
      <c r="AG176" s="470">
        <v>20911.8</v>
      </c>
      <c r="AI176" s="634">
        <v>2005</v>
      </c>
      <c r="AJ176" s="492">
        <v>163737</v>
      </c>
      <c r="AK176" s="497">
        <f t="shared" ref="AK176:AK181" si="73">+AJ176/1.1023</f>
        <v>148541.23196951827</v>
      </c>
      <c r="AL176" s="496">
        <f t="shared" ref="AL176:AL181" si="74">(AK176-AC176)</f>
        <v>1190.7450387946446</v>
      </c>
      <c r="AM176" s="395">
        <f t="shared" ref="AM176:AM181" si="75">LN(AK176)-LN(AC176)</f>
        <v>8.0485622996686601E-3</v>
      </c>
      <c r="AN176" s="162">
        <f t="shared" ref="AN176:AN181" si="76">AM176^2</f>
        <v>6.4779355091647666E-5</v>
      </c>
      <c r="AO176" s="735">
        <f>[8]rankings!$S27</f>
        <v>0.5</v>
      </c>
      <c r="AP176" s="738"/>
      <c r="AQ176" s="738"/>
    </row>
    <row r="177" spans="1:43" ht="11.25" customHeight="1">
      <c r="A177" s="473">
        <v>2006</v>
      </c>
      <c r="B177" s="581">
        <f t="shared" si="67"/>
        <v>119.66537339214781</v>
      </c>
      <c r="C177" s="194">
        <f>B$268*(B176-(B38+Q84*$AD84))</f>
        <v>110.94983426075443</v>
      </c>
      <c r="D177" s="194">
        <f>C$268*(C176-(C38+R84*$AD84))</f>
        <v>41.988904496173298</v>
      </c>
      <c r="E177" s="194">
        <f>D$268*(D176-(D38+S84*$AD84))</f>
        <v>37.360674132939209</v>
      </c>
      <c r="F177" s="194">
        <f>E$268*(E176-(E38+T84*$AD84))</f>
        <v>82.091718712535624</v>
      </c>
      <c r="G177" s="194">
        <f>F$268*(F176-(F38+U84*$AD84))</f>
        <v>124.94100631358506</v>
      </c>
      <c r="H177" s="194">
        <f>G$268*(G176-(G38+V84*$AD84))</f>
        <v>54.688425154548874</v>
      </c>
      <c r="I177" s="194">
        <f>H$268*(H176-(H38+W84*$AD84))</f>
        <v>3.1209820450461834</v>
      </c>
      <c r="J177" s="194">
        <f>I$268*(I176-(I38+X84*$AD84))</f>
        <v>0.69925218764270591</v>
      </c>
      <c r="K177" s="194">
        <f>J$268*(J176-(J38+Y84*$AD84))</f>
        <v>6.6302968567952307</v>
      </c>
      <c r="L177" s="194">
        <f>K$268*(K176-(K38+Z84*$AD84))</f>
        <v>1.6939910298359391</v>
      </c>
      <c r="M177" s="712">
        <f>L$268*(L176-(L38+AA84*$AD84))+M$268*(M176-(M38+AB84*$AD84))</f>
        <v>2.4439723549317423</v>
      </c>
      <c r="N177" s="456">
        <f t="shared" si="70"/>
        <v>586.27443093693614</v>
      </c>
      <c r="O177" s="710">
        <f t="shared" si="71"/>
        <v>0.20411153391238357</v>
      </c>
      <c r="P177" s="498">
        <v>2006</v>
      </c>
      <c r="Q177" s="458">
        <f>Q39*B302*B177</f>
        <v>4456.8489130004227</v>
      </c>
      <c r="R177" s="496">
        <f>R39*C302*C177</f>
        <v>11252.258580985123</v>
      </c>
      <c r="S177" s="496">
        <f>S39*D302*D177</f>
        <v>8023.6654686275115</v>
      </c>
      <c r="T177" s="496">
        <f>T39*E302*E177</f>
        <v>11012.528263503684</v>
      </c>
      <c r="U177" s="496">
        <f>U39*F302*F177</f>
        <v>31281.528215565708</v>
      </c>
      <c r="V177" s="496">
        <f>V39*G302*G177</f>
        <v>52189.525005291405</v>
      </c>
      <c r="W177" s="496">
        <f>W39*H302*H177</f>
        <v>26006.305985097621</v>
      </c>
      <c r="X177" s="496">
        <f>X39*I302*I177</f>
        <v>1588.1727763139361</v>
      </c>
      <c r="Y177" s="496">
        <f>Y39*J302*J177</f>
        <v>378.33746506696656</v>
      </c>
      <c r="Z177" s="496">
        <f>Z39*K302*K177</f>
        <v>3729.5419819473173</v>
      </c>
      <c r="AA177" s="496">
        <f>AA39*L302*L177</f>
        <v>931.39787500102341</v>
      </c>
      <c r="AB177" s="586">
        <f>AB39*M302*M177</f>
        <v>1319.3137824240353</v>
      </c>
      <c r="AC177" s="602">
        <f t="shared" si="63"/>
        <v>152169.42431282473</v>
      </c>
      <c r="AD177" s="207">
        <f t="shared" si="64"/>
        <v>167737.87811426981</v>
      </c>
      <c r="AF177" s="198"/>
      <c r="AG177" s="471">
        <v>23953</v>
      </c>
      <c r="AI177" s="634">
        <v>2006</v>
      </c>
      <c r="AJ177" s="492">
        <v>179580</v>
      </c>
      <c r="AK177" s="497">
        <f t="shared" si="73"/>
        <v>162913.90728476821</v>
      </c>
      <c r="AL177" s="496">
        <f t="shared" si="74"/>
        <v>10744.482971943478</v>
      </c>
      <c r="AM177" s="395">
        <f t="shared" si="75"/>
        <v>6.8227351365097277E-2</v>
      </c>
      <c r="AN177" s="162">
        <f t="shared" si="76"/>
        <v>4.6549714742964415E-3</v>
      </c>
      <c r="AO177" s="735">
        <f>[8]rankings!$S28</f>
        <v>0.5</v>
      </c>
      <c r="AP177" s="738"/>
      <c r="AQ177" s="738"/>
    </row>
    <row r="178" spans="1:43" ht="11.25" customHeight="1">
      <c r="A178" s="473">
        <v>2007</v>
      </c>
      <c r="B178" s="581">
        <f t="shared" si="67"/>
        <v>111.244758470843</v>
      </c>
      <c r="C178" s="194">
        <f>B$268*(B177-(B39+Q85*$AD85))</f>
        <v>99.587838432155763</v>
      </c>
      <c r="D178" s="194">
        <f>C$268*(C177-(C39+R85*$AD85))</f>
        <v>89.316827814071047</v>
      </c>
      <c r="E178" s="194">
        <f>D$268*(D177-(D39+S85*$AD85))</f>
        <v>32.737078150705777</v>
      </c>
      <c r="F178" s="194">
        <f>E$268*(E177-(E39+T85*$AD85))</f>
        <v>27.923347453717906</v>
      </c>
      <c r="G178" s="194">
        <f>F$268*(F177-(F39+U85*$AD85))</f>
        <v>57.705722713770406</v>
      </c>
      <c r="H178" s="194">
        <f>G$268*(G177-(G39+V85*$AD85))</f>
        <v>84.60805163026528</v>
      </c>
      <c r="I178" s="194">
        <f>H$268*(H177-(H39+W85*$AD85))</f>
        <v>34.687503692550486</v>
      </c>
      <c r="J178" s="194">
        <f>I$268*(I177-(I39+X85*$AD85))</f>
        <v>1.7667393179037827</v>
      </c>
      <c r="K178" s="194">
        <f>J$268*(J177-(J39+Y85*$AD85))</f>
        <v>2.7401493682318825E-2</v>
      </c>
      <c r="L178" s="194">
        <f>K$268*(K177-(K39+Z85*$AD85))</f>
        <v>3.4378680583919441</v>
      </c>
      <c r="M178" s="712">
        <f>L$268*(L177-(L39+AA85*$AD85))+M$268*(M177-(M39+AB85*$AD85))</f>
        <v>1.7998619943627114</v>
      </c>
      <c r="N178" s="456">
        <f t="shared" si="70"/>
        <v>544.8429992224203</v>
      </c>
      <c r="O178" s="710">
        <f t="shared" si="71"/>
        <v>0.20417764131980659</v>
      </c>
      <c r="P178" s="498">
        <v>2007</v>
      </c>
      <c r="Q178" s="458">
        <f>Q40*B303*B178</f>
        <v>3995.0581716517058</v>
      </c>
      <c r="R178" s="496">
        <f>R40*C303*C178</f>
        <v>9909.234608501929</v>
      </c>
      <c r="S178" s="496">
        <f>S40*D303*D178</f>
        <v>17878.295604450188</v>
      </c>
      <c r="T178" s="496">
        <f>T40*E303*E178</f>
        <v>9298.5930433259091</v>
      </c>
      <c r="U178" s="496">
        <f>U40*F303*F178</f>
        <v>10756.813947833893</v>
      </c>
      <c r="V178" s="496">
        <f>V40*G303*G178</f>
        <v>23957.929711233028</v>
      </c>
      <c r="W178" s="496">
        <f>W40*H303*H178</f>
        <v>38832.518803318257</v>
      </c>
      <c r="X178" s="496">
        <f>X40*I303*I178</f>
        <v>17198.69501265185</v>
      </c>
      <c r="Y178" s="496">
        <f>Y40*J303*J178</f>
        <v>942.32296040194387</v>
      </c>
      <c r="Z178" s="496">
        <f>Z40*K303*K178</f>
        <v>15.118151377999359</v>
      </c>
      <c r="AA178" s="496">
        <f>AA40*L303*L178</f>
        <v>1945.8333210498404</v>
      </c>
      <c r="AB178" s="586">
        <f>AB40*M303*M178</f>
        <v>1020.5217508036574</v>
      </c>
      <c r="AC178" s="602">
        <f t="shared" si="63"/>
        <v>135750.93508660019</v>
      </c>
      <c r="AD178" s="207">
        <f t="shared" si="64"/>
        <v>149639.61325531025</v>
      </c>
      <c r="AF178" s="198"/>
      <c r="AG178" s="471">
        <v>17132</v>
      </c>
      <c r="AI178" s="634">
        <v>2007</v>
      </c>
      <c r="AJ178" s="492">
        <v>143827</v>
      </c>
      <c r="AK178" s="497">
        <f t="shared" si="73"/>
        <v>130478.99845777011</v>
      </c>
      <c r="AL178" s="496">
        <f t="shared" si="74"/>
        <v>-5271.9366288300807</v>
      </c>
      <c r="AM178" s="395">
        <f t="shared" si="75"/>
        <v>-3.9609564635577854E-2</v>
      </c>
      <c r="AN178" s="162">
        <f t="shared" si="76"/>
        <v>1.5689176106200198E-3</v>
      </c>
      <c r="AO178" s="735">
        <f>[8]rankings!$S29</f>
        <v>0.5</v>
      </c>
      <c r="AP178" s="738"/>
      <c r="AQ178" s="738"/>
    </row>
    <row r="179" spans="1:43" ht="11.25" customHeight="1">
      <c r="A179" s="473">
        <v>2008</v>
      </c>
      <c r="B179" s="581">
        <f t="shared" si="67"/>
        <v>191.19261006186369</v>
      </c>
      <c r="C179" s="194">
        <f>B$268*(B178-(B40+Q86*$AD86))</f>
        <v>93.099869567940914</v>
      </c>
      <c r="D179" s="194">
        <f>C$268*(C178-(C40+R86*$AD86))</f>
        <v>81.230727532027871</v>
      </c>
      <c r="E179" s="194">
        <f>D$268*(D178-(D40+S86*$AD86))</f>
        <v>70.008443186617669</v>
      </c>
      <c r="F179" s="194">
        <f>E$268*(E178-(E40+T86*$AD86))</f>
        <v>24.847691192646995</v>
      </c>
      <c r="G179" s="194">
        <f>F$268*(F178-(F40+U86*$AD86))</f>
        <v>20.443059636797152</v>
      </c>
      <c r="H179" s="194">
        <f>G$268*(G178-(G40+V86*$AD86))</f>
        <v>38.533140411323473</v>
      </c>
      <c r="I179" s="194">
        <f>H$268*(H178-(H40+W86*$AD86))</f>
        <v>53.642090064592317</v>
      </c>
      <c r="J179" s="194">
        <f>I$268*(I178-(I40+X86*$AD86))</f>
        <v>21.117007140622093</v>
      </c>
      <c r="K179" s="194">
        <f>J$268*(J178-(J40+Y86*$AD86))</f>
        <v>0.79513604229919377</v>
      </c>
      <c r="L179" s="194">
        <f>K$268*(K178-(K40+Z86*$AD86))</f>
        <v>8.0368251083277241E-7</v>
      </c>
      <c r="M179" s="712">
        <f>L$268*(L178-(L40+AA86*$AD86))+M$268*(M178-(M40+AB86*$AD86))</f>
        <v>2.4167424707627019</v>
      </c>
      <c r="N179" s="456">
        <f t="shared" ref="N179:N184" si="77">SUM(B179:M179)</f>
        <v>597.32651811117671</v>
      </c>
      <c r="O179" s="710">
        <f t="shared" si="71"/>
        <v>0.32008056609714786</v>
      </c>
      <c r="P179" s="498">
        <v>2008</v>
      </c>
      <c r="Q179" s="458">
        <f>Q41*B304*B179</f>
        <v>6834.1382029513888</v>
      </c>
      <c r="R179" s="496">
        <f>R41*C304*C179</f>
        <v>9107.1218008396154</v>
      </c>
      <c r="S179" s="496">
        <f>S41*D304*D179</f>
        <v>15993.288622833001</v>
      </c>
      <c r="T179" s="496">
        <f>T41*E304*E179</f>
        <v>19563.916837318407</v>
      </c>
      <c r="U179" s="496">
        <f>U41*F304*F179</f>
        <v>8868.9780308948284</v>
      </c>
      <c r="V179" s="496">
        <f>V41*G304*G179</f>
        <v>8237.8757411510196</v>
      </c>
      <c r="W179" s="496">
        <f>W41*H304*H179</f>
        <v>16530.680952898063</v>
      </c>
      <c r="X179" s="496">
        <f>X41*I304*I179</f>
        <v>24086.419720148788</v>
      </c>
      <c r="Y179" s="496">
        <f>Y41*J304*J179</f>
        <v>9931.9397400202197</v>
      </c>
      <c r="Z179" s="496">
        <f>Z41*K304*K179</f>
        <v>393.30922431697923</v>
      </c>
      <c r="AA179" s="496">
        <f>AA41*L304*L179</f>
        <v>3.9041110415120899E-4</v>
      </c>
      <c r="AB179" s="586">
        <f>AB41*M304*M179</f>
        <v>1292.8061754536229</v>
      </c>
      <c r="AC179" s="602">
        <f t="shared" si="63"/>
        <v>120840.47543923702</v>
      </c>
      <c r="AD179" s="207">
        <f t="shared" si="64"/>
        <v>133203.66448142537</v>
      </c>
      <c r="AF179" s="198"/>
      <c r="AG179" s="468">
        <v>19060</v>
      </c>
      <c r="AI179" s="634">
        <v>2008</v>
      </c>
      <c r="AJ179" s="492">
        <v>136839</v>
      </c>
      <c r="AK179" s="497">
        <f t="shared" si="73"/>
        <v>124139.52644470651</v>
      </c>
      <c r="AL179" s="496">
        <f t="shared" si="74"/>
        <v>3299.0510054694896</v>
      </c>
      <c r="AM179" s="395">
        <f t="shared" si="75"/>
        <v>2.6934855327628071E-2</v>
      </c>
      <c r="AN179" s="717">
        <f t="shared" si="76"/>
        <v>7.2548643152025433E-4</v>
      </c>
      <c r="AO179" s="735">
        <f>[8]rankings!$S30</f>
        <v>0.5</v>
      </c>
      <c r="AP179" s="738"/>
      <c r="AQ179" s="738"/>
    </row>
    <row r="180" spans="1:43" ht="11.25" customHeight="1">
      <c r="A180" s="473">
        <v>2009</v>
      </c>
      <c r="B180" s="581">
        <f t="shared" si="67"/>
        <v>333.3294785803605</v>
      </c>
      <c r="C180" s="194">
        <f>B$268*(B179-(B41+Q87*$AD87))</f>
        <v>159.86574158805459</v>
      </c>
      <c r="D180" s="194">
        <f>C$268*(C179-(C41+R87*$AD87))</f>
        <v>75.706128731839698</v>
      </c>
      <c r="E180" s="194">
        <f>D$268*(D179-(D41+S87*$AD87))</f>
        <v>62.673656488864204</v>
      </c>
      <c r="F180" s="194">
        <f>E$268*(E179-(E41+T87*$AD87))</f>
        <v>51.839446548475216</v>
      </c>
      <c r="G180" s="194">
        <f>F$268*(F179-(F41+U87*$AD87))</f>
        <v>17.563624935085155</v>
      </c>
      <c r="H180" s="194">
        <f>G$268*(G179-(G41+V87*$AD87))</f>
        <v>13.025194015315204</v>
      </c>
      <c r="I180" s="194">
        <f>H$268*(H179-(H41+W87*$AD87))</f>
        <v>23.600162483803203</v>
      </c>
      <c r="J180" s="194">
        <f>I$268*(I179-(I41+X87*$AD87))</f>
        <v>31.471248272331902</v>
      </c>
      <c r="K180" s="194">
        <f>J$268*(J179-(J41+Y87*$AD87))</f>
        <v>11.709617209447265</v>
      </c>
      <c r="L180" s="194">
        <f>K$268*(K179-(K41+Z87*$AD87))</f>
        <v>0.36675235201024314</v>
      </c>
      <c r="M180" s="712">
        <f>L$268*(L179-(L41+AA87*$AD87))+M$268*(M179-(M41+AB87*$AD87))</f>
        <v>0.99591635889863062</v>
      </c>
      <c r="N180" s="456">
        <f t="shared" si="77"/>
        <v>782.14696756448575</v>
      </c>
      <c r="O180" s="710">
        <f t="shared" si="71"/>
        <v>0.42617243613218825</v>
      </c>
      <c r="P180" s="498">
        <v>2009</v>
      </c>
      <c r="Q180" s="458">
        <f>Q42*B305*B180</f>
        <v>10466.495281740203</v>
      </c>
      <c r="R180" s="496">
        <f>R42*C305*C180</f>
        <v>14192.481184223258</v>
      </c>
      <c r="S180" s="496">
        <f>S42*D305*D180</f>
        <v>14307.045002514966</v>
      </c>
      <c r="T180" s="496">
        <f>T42*E305*E180</f>
        <v>18042.9566655905</v>
      </c>
      <c r="U180" s="496">
        <f>U42*F305*F180</f>
        <v>19336.113562581257</v>
      </c>
      <c r="V180" s="496">
        <f>V42*G305*G180</f>
        <v>7113.2680987094882</v>
      </c>
      <c r="W180" s="496">
        <f>W42*H305*H180</f>
        <v>5900.4128889377871</v>
      </c>
      <c r="X180" s="496">
        <f>X42*I305*I180</f>
        <v>11233.677342290324</v>
      </c>
      <c r="Y180" s="496">
        <f>Y42*J305*J180</f>
        <v>15578.267894804292</v>
      </c>
      <c r="Z180" s="496">
        <f>Z42*K305*K180</f>
        <v>5831.3893703047379</v>
      </c>
      <c r="AA180" s="496">
        <f>AA42*L305*L180</f>
        <v>199.14652714156202</v>
      </c>
      <c r="AB180" s="586">
        <f>AB42*M305*M180</f>
        <v>544.766248317551</v>
      </c>
      <c r="AC180" s="602">
        <f t="shared" si="63"/>
        <v>122746.02006715593</v>
      </c>
      <c r="AD180" s="207">
        <f t="shared" ref="AD180:AD185" si="78">AC180*2204.62/2000</f>
        <v>135304.16538022665</v>
      </c>
      <c r="AF180" s="198"/>
      <c r="AG180" s="470">
        <v>17107</v>
      </c>
      <c r="AI180" s="634">
        <v>2009</v>
      </c>
      <c r="AJ180" s="491">
        <v>142154</v>
      </c>
      <c r="AK180" s="497">
        <f t="shared" si="73"/>
        <v>128961.26281411594</v>
      </c>
      <c r="AL180" s="496">
        <f t="shared" si="74"/>
        <v>6215.2427469600079</v>
      </c>
      <c r="AM180" s="507">
        <f t="shared" si="75"/>
        <v>4.9394727932623894E-2</v>
      </c>
      <c r="AN180" s="718">
        <f t="shared" si="76"/>
        <v>2.4398391475379351E-3</v>
      </c>
      <c r="AO180" s="735">
        <f>[8]rankings!$S31</f>
        <v>0.5</v>
      </c>
      <c r="AP180" s="738"/>
      <c r="AQ180" s="738"/>
    </row>
    <row r="181" spans="1:43" ht="11.25" customHeight="1">
      <c r="A181" s="473">
        <v>2010</v>
      </c>
      <c r="B181" s="581">
        <f t="shared" si="67"/>
        <v>253.17165541814941</v>
      </c>
      <c r="C181" s="194">
        <f>B$268*(B180-(B42+Q88*$AD88))</f>
        <v>279.49652968235483</v>
      </c>
      <c r="D181" s="194">
        <f>C$268*(C180-(C42+R88*$AD88))</f>
        <v>131.04378102167357</v>
      </c>
      <c r="E181" s="194">
        <f>D$268*(D180-(D42+S88*$AD88))</f>
        <v>59.897980222468199</v>
      </c>
      <c r="F181" s="194">
        <f>E$268*(E180-(E42+T88*$AD88))</f>
        <v>47.775737672639394</v>
      </c>
      <c r="G181" s="194">
        <f>F$268*(F180-(F42+U88*$AD88))</f>
        <v>38.354705764165004</v>
      </c>
      <c r="H181" s="194">
        <f>G$268*(G180-(G42+V88*$AD88))</f>
        <v>11.651475423682934</v>
      </c>
      <c r="I181" s="194">
        <f>H$268*(H180-(H42+W88*$AD88))</f>
        <v>7.8890815207775757</v>
      </c>
      <c r="J181" s="194">
        <f>I$268*(I180-(I42+X88*$AD88))</f>
        <v>13.956047694022118</v>
      </c>
      <c r="K181" s="194">
        <f>J$268*(J180-(J42+Y88*$AD88))</f>
        <v>17.543084418920419</v>
      </c>
      <c r="L181" s="194">
        <f>K$268*(K180-(K42+Z88*$AD88))</f>
        <v>6.001991972358276</v>
      </c>
      <c r="M181" s="712">
        <f>L$268*(L180-(L42+AA88*$AD88))+M$268*(M180-(M42+AB88*$AD88))</f>
        <v>0.40992934735467246</v>
      </c>
      <c r="N181" s="456">
        <f t="shared" si="77"/>
        <v>867.19200015856643</v>
      </c>
      <c r="O181" s="710">
        <f t="shared" si="71"/>
        <v>0.29194417772748926</v>
      </c>
      <c r="P181" s="498">
        <v>2010</v>
      </c>
      <c r="Q181" s="458">
        <f>Q43*B306*B181</f>
        <v>9630.9126630117007</v>
      </c>
      <c r="R181" s="496">
        <f>R43*C306*C181</f>
        <v>25478.919456357082</v>
      </c>
      <c r="S181" s="496">
        <f>S43*D306*D181</f>
        <v>24557.402619109042</v>
      </c>
      <c r="T181" s="496">
        <f>T43*E306*E181</f>
        <v>17373.440769752753</v>
      </c>
      <c r="U181" s="496">
        <f>U43*F306*F181</f>
        <v>18697.488695193584</v>
      </c>
      <c r="V181" s="496">
        <f>V43*G306*G181</f>
        <v>16292.029383953379</v>
      </c>
      <c r="W181" s="496">
        <f>W43*H306*H181</f>
        <v>5529.3168948908333</v>
      </c>
      <c r="X181" s="496">
        <f>X43*I306*I181</f>
        <v>3923.3102977633725</v>
      </c>
      <c r="Y181" s="496">
        <f>Y43*J306*J181</f>
        <v>7172.6984701955607</v>
      </c>
      <c r="Z181" s="496">
        <f>Z43*K306*K181</f>
        <v>9143.2948991313697</v>
      </c>
      <c r="AA181" s="496">
        <f>AA43*L306*L181</f>
        <v>3301.6582715444601</v>
      </c>
      <c r="AB181" s="586">
        <f>AB43*M306*M181</f>
        <v>226.3493349619832</v>
      </c>
      <c r="AC181" s="602">
        <f t="shared" si="63"/>
        <v>141326.82175586512</v>
      </c>
      <c r="AD181" s="207">
        <f t="shared" si="78"/>
        <v>155785.96888970767</v>
      </c>
      <c r="AF181" s="198"/>
      <c r="AG181" s="466">
        <v>20335</v>
      </c>
      <c r="AI181" s="634">
        <v>2010</v>
      </c>
      <c r="AJ181" s="491">
        <v>146913</v>
      </c>
      <c r="AK181" s="497">
        <f t="shared" si="73"/>
        <v>133278.59929238862</v>
      </c>
      <c r="AL181" s="496">
        <f t="shared" si="74"/>
        <v>-8048.2224634765007</v>
      </c>
      <c r="AM181" s="507">
        <f t="shared" si="75"/>
        <v>-5.8633424167974013E-2</v>
      </c>
      <c r="AN181" s="718">
        <f t="shared" si="76"/>
        <v>3.4378784296615591E-3</v>
      </c>
      <c r="AO181" s="735">
        <f>[8]rankings!$S32</f>
        <v>0.5</v>
      </c>
      <c r="AP181" s="738"/>
      <c r="AQ181" s="738"/>
    </row>
    <row r="182" spans="1:43" ht="11.25" customHeight="1">
      <c r="A182" s="473">
        <v>2011</v>
      </c>
      <c r="B182" s="581">
        <f>+B248</f>
        <v>209.90882078222836</v>
      </c>
      <c r="C182" s="194">
        <f>B$268*(B181-(B43+Q89*$AD89))</f>
        <v>211.44536816407839</v>
      </c>
      <c r="D182" s="194">
        <f>C$268*(C181-(C43+R89*$AD89))</f>
        <v>226.35695513372104</v>
      </c>
      <c r="E182" s="194">
        <f>D$268*(D181-(D43+S89*$AD89))</f>
        <v>100.90779351679927</v>
      </c>
      <c r="F182" s="194">
        <f>E$268*(E181-(E43+T89*$AD89))</f>
        <v>42.005019637634184</v>
      </c>
      <c r="G182" s="194">
        <f>F$268*(F181-(F43+U89*$AD89))</f>
        <v>32.095551326505955</v>
      </c>
      <c r="H182" s="194">
        <f>G$268*(G181-(G43+V89*$AD89))</f>
        <v>24.540928238529808</v>
      </c>
      <c r="I182" s="194">
        <f>H$268*(H181-(H43+W89*$AD89))</f>
        <v>6.4808649598158716</v>
      </c>
      <c r="J182" s="194">
        <f>I$268*(I181-(I43+X89*$AD89))</f>
        <v>3.9586538781008289</v>
      </c>
      <c r="K182" s="194">
        <f>J$268*(J181-(J43+Y89*$AD89))</f>
        <v>7.3163552294279581</v>
      </c>
      <c r="L182" s="194">
        <f>K$268*(K181-(K43+Z89*$AD89))</f>
        <v>8.8913975554800988</v>
      </c>
      <c r="M182" s="712">
        <f>L$268*(L181-(L43+AA89*$AD89))</f>
        <v>2.7966871954203909</v>
      </c>
      <c r="N182" s="456">
        <f t="shared" si="77"/>
        <v>876.70439561774219</v>
      </c>
      <c r="O182" s="710">
        <f t="shared" si="71"/>
        <v>0.23942941524129432</v>
      </c>
      <c r="P182" s="498">
        <v>2011</v>
      </c>
      <c r="Q182" s="458">
        <f>Q44*B307*B182</f>
        <v>8522.2571302028082</v>
      </c>
      <c r="R182" s="496">
        <f>R44*C307*C182</f>
        <v>20985.222665589503</v>
      </c>
      <c r="S182" s="496">
        <f>S44*D307*D182</f>
        <v>39874.497550711072</v>
      </c>
      <c r="T182" s="496">
        <f>T44*E307*E182</f>
        <v>27061.535989616928</v>
      </c>
      <c r="U182" s="496">
        <f>U44*F307*F182</f>
        <v>15499.852246287013</v>
      </c>
      <c r="V182" s="496">
        <f>V44*G307*G182</f>
        <v>13351.749351826478</v>
      </c>
      <c r="W182" s="496">
        <f>W44*H307*H182</f>
        <v>10920.713066145765</v>
      </c>
      <c r="X182" s="496">
        <f>X44*I307*I182</f>
        <v>3091.3725858321709</v>
      </c>
      <c r="Y182" s="496">
        <f>Y44*J307*J182</f>
        <v>2003.0788623190194</v>
      </c>
      <c r="Z182" s="496">
        <f>Z44*K307*K182</f>
        <v>3694.7593908611188</v>
      </c>
      <c r="AA182" s="496">
        <f>AA44*L307*L182</f>
        <v>4419.0245850736092</v>
      </c>
      <c r="AB182" s="586">
        <f>AB44*M307*M182</f>
        <v>1515.8044599178518</v>
      </c>
      <c r="AC182" s="602">
        <f t="shared" si="63"/>
        <v>150939.86788438336</v>
      </c>
      <c r="AD182" s="207">
        <f t="shared" si="78"/>
        <v>166382.52576763462</v>
      </c>
      <c r="AF182" s="198"/>
      <c r="AG182" s="470">
        <v>22877</v>
      </c>
      <c r="AI182" s="634">
        <v>2011</v>
      </c>
      <c r="AJ182" s="737">
        <f>[8]rankings!$M33</f>
        <v>62333</v>
      </c>
      <c r="AK182" s="497"/>
      <c r="AL182" s="496"/>
      <c r="AM182" s="507"/>
      <c r="AN182" s="718"/>
      <c r="AO182" s="735">
        <f>[8]rankings!$S33</f>
        <v>0.25</v>
      </c>
      <c r="AP182" s="738"/>
      <c r="AQ182" s="738"/>
    </row>
    <row r="183" spans="1:43" ht="11.25" customHeight="1">
      <c r="A183" s="473">
        <v>2012</v>
      </c>
      <c r="B183" s="581">
        <f>+B249</f>
        <v>117.84836518984136</v>
      </c>
      <c r="C183" s="194">
        <f>B$268*(B182-(B44+Q90*$AD90))</f>
        <v>175.85434209544101</v>
      </c>
      <c r="D183" s="194">
        <f>C$268*(C182-(C44+R90*$AD90))</f>
        <v>172.92476632696042</v>
      </c>
      <c r="E183" s="194">
        <f>D$268*(D182-(D44+S90*$AD90))</f>
        <v>178.53203097368876</v>
      </c>
      <c r="F183" s="194">
        <f>E$268*(E182-(E44+T90*$AD90))</f>
        <v>76.720739017414516</v>
      </c>
      <c r="G183" s="194">
        <f>F$268*(F182-(F44+U90*$AD90))</f>
        <v>30.435866197403467</v>
      </c>
      <c r="H183" s="194">
        <f>G$268*(G182-(G44+V90*$AD90))</f>
        <v>21.664674349134536</v>
      </c>
      <c r="I183" s="194">
        <f>H$268*(H182-(H44+W90*$AD90))</f>
        <v>15.651316636265586</v>
      </c>
      <c r="J183" s="194">
        <f>I$268*(I182-(I44+X90*$AD90))</f>
        <v>3.56813866334535</v>
      </c>
      <c r="K183" s="194">
        <f>J$268*(J182-(J44+Y90*$AD90))</f>
        <v>1.9706884004553229</v>
      </c>
      <c r="L183" s="194">
        <f>K$268*(K182-(K44+Z90*$AD90))</f>
        <v>3.8022996337669195</v>
      </c>
      <c r="M183" s="712">
        <f>L$268*(L182-(L44+AA90*$AD90))</f>
        <v>4.332862445033058</v>
      </c>
      <c r="N183" s="456">
        <f t="shared" si="77"/>
        <v>803.30608992875034</v>
      </c>
      <c r="O183" s="710">
        <f t="shared" si="71"/>
        <v>0.14670418495183321</v>
      </c>
      <c r="P183" s="498">
        <v>2012</v>
      </c>
      <c r="Q183" s="458">
        <f>Q45*B308*B183</f>
        <v>4874.4795580608316</v>
      </c>
      <c r="R183" s="496">
        <f>R45*C308*C183</f>
        <v>16846.166086038131</v>
      </c>
      <c r="S183" s="496">
        <f>S45*D308*D183</f>
        <v>31416.301932866951</v>
      </c>
      <c r="T183" s="496">
        <f>T45*E308*E183</f>
        <v>44935.198254521521</v>
      </c>
      <c r="U183" s="496">
        <f>U45*F308*F183</f>
        <v>25921.067210143607</v>
      </c>
      <c r="V183" s="496">
        <f>V45*G308*G183</f>
        <v>11473.134642418971</v>
      </c>
      <c r="W183" s="496">
        <f>W45*H308*H183</f>
        <v>9105.6626289412452</v>
      </c>
      <c r="X183" s="496">
        <f>X45*I308*I183</f>
        <v>6644.2075023324069</v>
      </c>
      <c r="Y183" s="496">
        <f>Y45*J308*J183</f>
        <v>1649.5779512850413</v>
      </c>
      <c r="Z183" s="496">
        <f>Z45*K308*K183</f>
        <v>1014.2121222018995</v>
      </c>
      <c r="AA183" s="496">
        <f>AA45*L308*L183</f>
        <v>2055.9577305439711</v>
      </c>
      <c r="AB183" s="586">
        <f>AB45*M308*M183</f>
        <v>2026.9130517864646</v>
      </c>
      <c r="AC183" s="602">
        <f t="shared" si="63"/>
        <v>157962.87867114099</v>
      </c>
      <c r="AD183" s="587">
        <f t="shared" si="78"/>
        <v>174124.06078798542</v>
      </c>
      <c r="AF183" s="198"/>
      <c r="AI183" s="634">
        <v>2012</v>
      </c>
      <c r="AJ183" s="491">
        <v>167738</v>
      </c>
      <c r="AK183" s="497">
        <f>+AJ183/1.1023</f>
        <v>152170.91535879523</v>
      </c>
      <c r="AL183" s="496">
        <f>(AK183-AC183)</f>
        <v>-5791.9633123457606</v>
      </c>
      <c r="AM183" s="507">
        <f>LN(AK183)-LN(AC183)</f>
        <v>-3.7355728020125767E-2</v>
      </c>
      <c r="AN183" s="718">
        <f>AM183^2</f>
        <v>1.3954504159136094E-3</v>
      </c>
      <c r="AO183" s="735">
        <f>[8]rankings!$S34</f>
        <v>0.5</v>
      </c>
      <c r="AP183" s="738"/>
      <c r="AQ183" s="738"/>
    </row>
    <row r="184" spans="1:43" s="480" customFormat="1" ht="11.25" customHeight="1">
      <c r="A184" s="36">
        <v>2013</v>
      </c>
      <c r="B184" s="581">
        <f>+B250</f>
        <v>96.369182371593013</v>
      </c>
      <c r="C184" s="194">
        <f>B$268*(B183-(B45+Q91*$AD91))</f>
        <v>99.132147520723919</v>
      </c>
      <c r="D184" s="194">
        <f>C$268*(C183-(C45+R91*$AD91))</f>
        <v>145.33221647346465</v>
      </c>
      <c r="E184" s="194">
        <f>D$268*(D183-(D45+S91*$AD91))</f>
        <v>139.10713760980758</v>
      </c>
      <c r="F184" s="194">
        <f>E$268*(E183-(E45+T91*$AD91))</f>
        <v>140.10345712373373</v>
      </c>
      <c r="G184" s="194">
        <f>F$268*(F183-(F45+U91*$AD91))</f>
        <v>58.488979358593234</v>
      </c>
      <c r="H184" s="194">
        <f>G$268*(G183-(G45+V91*$AD91))</f>
        <v>21.025384754675606</v>
      </c>
      <c r="I184" s="194">
        <f>H$268*(H183-(H45+W91*$AD91))</f>
        <v>14.117818068196119</v>
      </c>
      <c r="J184" s="194">
        <f>I$268*(I183-(I45+X91*$AD91))</f>
        <v>9.5834123488139156</v>
      </c>
      <c r="K184" s="194">
        <f>J$268*(J183-(J45+Y91*$AD91))</f>
        <v>1.881943780613895</v>
      </c>
      <c r="L184" s="194">
        <f>K$268*(K183-(K45+Z91*$AD91))</f>
        <v>0.98634707540047228</v>
      </c>
      <c r="M184" s="712">
        <f>L$268*(L183-(L45+AA91*$AD91))</f>
        <v>1.9032637231302891</v>
      </c>
      <c r="N184" s="456">
        <f t="shared" si="77"/>
        <v>728.03129020874644</v>
      </c>
      <c r="O184" s="710">
        <f t="shared" si="71"/>
        <v>0.13236956112691439</v>
      </c>
      <c r="P184" s="498">
        <v>2013</v>
      </c>
      <c r="Q184" s="458">
        <f>Q46*B309*B184</f>
        <v>5263.4842061564323</v>
      </c>
      <c r="R184" s="496">
        <f>R46*C309*C184</f>
        <v>11799.253860467452</v>
      </c>
      <c r="S184" s="496">
        <f>S46*D309*D184</f>
        <v>29076.825630188509</v>
      </c>
      <c r="T184" s="496">
        <f>T46*E309*E184</f>
        <v>39289.392880228152</v>
      </c>
      <c r="U184" s="496">
        <f>U46*F309*F184</f>
        <v>50015.554995892053</v>
      </c>
      <c r="V184" s="496">
        <f>V46*G309*G184</f>
        <v>23221.350288738529</v>
      </c>
      <c r="W184" s="496">
        <f>W46*H309*H184</f>
        <v>9330.0744432088522</v>
      </c>
      <c r="X184" s="496">
        <f>X46*I309*I184</f>
        <v>6728.372817422045</v>
      </c>
      <c r="Y184" s="496">
        <f>Y46*J309*J184</f>
        <v>4966.2251571800907</v>
      </c>
      <c r="Z184" s="496">
        <f>Z46*K309*K184</f>
        <v>987.5264745798836</v>
      </c>
      <c r="AA184" s="496">
        <f>AA46*L309*L184</f>
        <v>530.6054092116841</v>
      </c>
      <c r="AB184" s="586">
        <f>AB46*M309*M184</f>
        <v>910.3310387732173</v>
      </c>
      <c r="AC184" s="602">
        <f t="shared" si="63"/>
        <v>182118.99720204686</v>
      </c>
      <c r="AD184" s="587">
        <f t="shared" si="78"/>
        <v>200751.59180578825</v>
      </c>
      <c r="AE184" s="481"/>
      <c r="AF184" s="487"/>
      <c r="AI184" s="634">
        <v>2013</v>
      </c>
      <c r="AJ184" s="491">
        <v>169020</v>
      </c>
      <c r="AK184" s="497">
        <f>+AJ184/1.1023</f>
        <v>153333.93812936585</v>
      </c>
      <c r="AL184" s="496">
        <f>(AK184-AC184)</f>
        <v>-28785.059072681004</v>
      </c>
      <c r="AM184" s="507">
        <f>LN(AK184)-LN(AC184)</f>
        <v>-0.17204215907384857</v>
      </c>
      <c r="AN184" s="718">
        <f>AM184^2</f>
        <v>2.9598504498791416E-2</v>
      </c>
      <c r="AO184" s="735">
        <f>[8]rankings!$S35</f>
        <v>0.75</v>
      </c>
      <c r="AP184" s="738"/>
      <c r="AQ184" s="738"/>
    </row>
    <row r="185" spans="1:43" s="493" customFormat="1" ht="11.25" customHeight="1">
      <c r="A185" s="36">
        <v>2014</v>
      </c>
      <c r="B185" s="581">
        <f>+B251</f>
        <v>111.45676344230812</v>
      </c>
      <c r="C185" s="194">
        <f>B$268*(B184-(B46+Q92*$AD92))</f>
        <v>80.817627400899227</v>
      </c>
      <c r="D185" s="194">
        <f>C$268*(C184-(C46+R92*$AD92))</f>
        <v>81.230711083640998</v>
      </c>
      <c r="E185" s="194">
        <f>D$268*(D184-(D46+S92*$AD92))</f>
        <v>114.90574971228722</v>
      </c>
      <c r="F185" s="194">
        <f>E$268*(E184-(E46+T92*$AD92))</f>
        <v>105.20617860214308</v>
      </c>
      <c r="G185" s="194">
        <f>F$268*(F184-(F46+U92*$AD92))</f>
        <v>103.40624557982876</v>
      </c>
      <c r="H185" s="194">
        <f>G$268*(G184-(G46+V92*$AD92))</f>
        <v>39.43685020270182</v>
      </c>
      <c r="I185" s="194">
        <f>H$268*(H184-(H46+W92*$AD92))</f>
        <v>12.318124394233866</v>
      </c>
      <c r="J185" s="194">
        <f>I$268*(I184-(I46+X92*$AD92))</f>
        <v>7.9098081879114135</v>
      </c>
      <c r="K185" s="194">
        <f>J$268*(J184-(J46+Y92*$AD92))</f>
        <v>5.2802616204152955</v>
      </c>
      <c r="L185" s="194">
        <f>K$268*(K184-(K46+Z92*$AD92))</f>
        <v>0.71467349439304084</v>
      </c>
      <c r="M185" s="712">
        <f>L$268*(L184-(L46+AA92*$AD92))</f>
        <v>0.38721772003650062</v>
      </c>
      <c r="N185" s="456">
        <f>SUM(B185:M185)</f>
        <v>663.07021144079943</v>
      </c>
      <c r="O185" s="710">
        <f t="shared" si="71"/>
        <v>0.16809194791019391</v>
      </c>
      <c r="P185" s="498">
        <v>2014</v>
      </c>
      <c r="Q185" s="458">
        <f>Q47*B310*B185</f>
        <v>5222.9063613619674</v>
      </c>
      <c r="R185" s="496">
        <f>R47*C310*C185</f>
        <v>8376.9023416591208</v>
      </c>
      <c r="S185" s="496">
        <f>S47*D310*D185</f>
        <v>17047.294075170725</v>
      </c>
      <c r="T185" s="496">
        <f>T47*E310*E185</f>
        <v>32597.551501864302</v>
      </c>
      <c r="U185" s="496">
        <f>U47*F310*F185</f>
        <v>38606.082874065811</v>
      </c>
      <c r="V185" s="496">
        <f>V47*G310*G185</f>
        <v>39754.522026500374</v>
      </c>
      <c r="W185" s="496">
        <f>W47*H310*H185</f>
        <v>17456.831289032089</v>
      </c>
      <c r="X185" s="496">
        <f>X47*I310*I185</f>
        <v>6260.3887042307933</v>
      </c>
      <c r="Y185" s="496">
        <f>Y47*J310*J185</f>
        <v>4071.6900854360465</v>
      </c>
      <c r="Z185" s="496">
        <f>Z47*K310*K185</f>
        <v>2919.744664197819</v>
      </c>
      <c r="AA185" s="496">
        <f>AA47*L310*L185</f>
        <v>399.50248336570985</v>
      </c>
      <c r="AB185" s="586">
        <f>AB47*M310*M185</f>
        <v>232.25318847789305</v>
      </c>
      <c r="AC185" s="602">
        <f t="shared" si="63"/>
        <v>172945.66959536265</v>
      </c>
      <c r="AD185" s="587">
        <f t="shared" si="78"/>
        <v>190639.7410516642</v>
      </c>
      <c r="AE185" s="494"/>
      <c r="AF185" s="487"/>
      <c r="AI185" s="634">
        <v>2014</v>
      </c>
      <c r="AJ185" s="491">
        <v>203267</v>
      </c>
      <c r="AK185" s="497">
        <f>+AJ185/1.1023</f>
        <v>184402.61271886056</v>
      </c>
      <c r="AL185" s="496">
        <f>(AK185-AC185)</f>
        <v>11456.943123497913</v>
      </c>
      <c r="AM185" s="507">
        <f>LN(AK185)-LN(AC185)</f>
        <v>6.4143983187019415E-2</v>
      </c>
      <c r="AN185" s="718">
        <f>AM185^2</f>
        <v>4.1144505790966296E-3</v>
      </c>
      <c r="AO185" s="735">
        <f>[8]rankings!$S36</f>
        <v>0.75</v>
      </c>
      <c r="AP185" s="738"/>
      <c r="AQ185" s="738"/>
    </row>
    <row r="186" spans="1:43" ht="11.25" customHeight="1">
      <c r="A186" s="36">
        <v>2015</v>
      </c>
      <c r="B186" s="581">
        <f>+B252</f>
        <v>111.45676344230812</v>
      </c>
      <c r="C186" s="194">
        <f>B$268*(B185-(B47+Q93*$AD93))</f>
        <v>93.332794149653196</v>
      </c>
      <c r="D186" s="194">
        <f>C$268*(C185-(C47+R93*$AD93))</f>
        <v>65.753344015542524</v>
      </c>
      <c r="E186" s="194">
        <f>D$268*(D185-(D47+S93*$AD93))</f>
        <v>63.056362160134753</v>
      </c>
      <c r="F186" s="194">
        <f>E$268*(E185-(E47+T93*$AD93))</f>
        <v>86.207729907518967</v>
      </c>
      <c r="G186" s="194">
        <f>F$268*(F185-(F47+U93*$AD93))</f>
        <v>76.287105624054931</v>
      </c>
      <c r="H186" s="194">
        <f>G$268*(G185-(G47+V93*$AD93))</f>
        <v>71.988080616213594</v>
      </c>
      <c r="I186" s="194">
        <f>H$268*(H185-(H47+W93*$AD93))</f>
        <v>25.730278156586277</v>
      </c>
      <c r="J186" s="194">
        <f>I$268*(I185-(I47+X93*$AD93))</f>
        <v>7.4605673895423417</v>
      </c>
      <c r="K186" s="194">
        <f>J$268*(J185-(J47+Y93*$AD93))</f>
        <v>4.5559506281078805</v>
      </c>
      <c r="L186" s="194">
        <f>K$268*(K185-(K47+Z93*$AD93))</f>
        <v>2.8089858834587171</v>
      </c>
      <c r="M186" s="712">
        <f>L$268*(L185-(L47+AA93*$AD93))</f>
        <v>0.35174585445015505</v>
      </c>
      <c r="N186" s="456">
        <f>SUM(B186:M186)</f>
        <v>608.98970782757146</v>
      </c>
      <c r="O186" s="710">
        <f>B186/N186</f>
        <v>0.18301912496995079</v>
      </c>
      <c r="P186" s="498">
        <v>2015</v>
      </c>
      <c r="Q186" s="458">
        <f>Q48*B311*B186</f>
        <v>4910.1190855186624</v>
      </c>
      <c r="R186" s="496">
        <f>R48*C311*C186</f>
        <v>10071.635130621928</v>
      </c>
      <c r="S186" s="496">
        <f>S48*D311*D186</f>
        <v>13236.599313118208</v>
      </c>
      <c r="T186" s="496">
        <f>T48*E311*E186</f>
        <v>18953.526140958555</v>
      </c>
      <c r="U186" s="496">
        <f>U48*F311*F186</f>
        <v>33082.425594073284</v>
      </c>
      <c r="V186" s="496">
        <f>V48*G311*G186</f>
        <v>30965.019244062321</v>
      </c>
      <c r="W186" s="496">
        <f>W48*H311*H186</f>
        <v>30127.50145271948</v>
      </c>
      <c r="X186" s="496">
        <f>X48*I311*I186</f>
        <v>11693.540078087455</v>
      </c>
      <c r="Y186" s="496">
        <f>Y48*J311*J186</f>
        <v>3564.6045092058444</v>
      </c>
      <c r="Z186" s="496">
        <f>Z48*K311*K186</f>
        <v>2292.4024910429503</v>
      </c>
      <c r="AA186" s="496">
        <f>AA48*L311*L186</f>
        <v>1743.6779871569986</v>
      </c>
      <c r="AB186" s="586">
        <f>AB48*M311*M186</f>
        <v>183.43546309575586</v>
      </c>
      <c r="AC186" s="602">
        <f t="shared" si="63"/>
        <v>160824.48648966142</v>
      </c>
      <c r="AD186" s="587">
        <f>AC186*2204.62/2000</f>
        <v>177278.43970241866</v>
      </c>
      <c r="AF186" s="198"/>
      <c r="AI186" s="741">
        <v>2015</v>
      </c>
      <c r="AJ186" s="742">
        <v>228807</v>
      </c>
      <c r="AK186" s="497">
        <f>+AJ186/1.1023</f>
        <v>207572.34872539234</v>
      </c>
      <c r="AL186" s="496">
        <f>(AK186-AC186)</f>
        <v>46747.862235730921</v>
      </c>
      <c r="AM186" s="507">
        <f>LN(AK186)-LN(AC186)</f>
        <v>0.25516632313997434</v>
      </c>
      <c r="AN186" s="499">
        <f>AM186^2</f>
        <v>6.5109852464773799E-2</v>
      </c>
      <c r="AO186" s="734">
        <f>[8]rankings!$S37</f>
        <v>0.8</v>
      </c>
      <c r="AP186" s="738"/>
      <c r="AQ186" s="738"/>
    </row>
    <row r="187" spans="1:43" s="493" customFormat="1" ht="11.25" customHeight="1">
      <c r="A187" s="633">
        <v>2016</v>
      </c>
      <c r="B187" s="581">
        <f>+B257</f>
        <v>0</v>
      </c>
      <c r="C187" s="490">
        <f>B$268*(B186-(B48+Q94*$AD94))</f>
        <v>93.160616241950535</v>
      </c>
      <c r="D187" s="490">
        <f>C$268*(C186-(C48+R94*$AD94))</f>
        <v>75.819618651437011</v>
      </c>
      <c r="E187" s="490">
        <f>D$268*(D186-(D48+S94*$AD94))</f>
        <v>51.116847608524601</v>
      </c>
      <c r="F187" s="490">
        <f>E$268*(E186-(E48+T94*$AD94))</f>
        <v>47.498965030765</v>
      </c>
      <c r="G187" s="490">
        <f>F$268*(F186-(F48+U94*$AD94))</f>
        <v>63.987698027939182</v>
      </c>
      <c r="H187" s="490">
        <f>G$268*(G186-(G48+V94*$AD94))</f>
        <v>52.953331388931772</v>
      </c>
      <c r="I187" s="490">
        <f>H$268*(H186-(H48+W94*$AD94))</f>
        <v>46.893619573901553</v>
      </c>
      <c r="J187" s="490">
        <f>I$268*(I186-(I48+X94*$AD94))</f>
        <v>15.665274506723687</v>
      </c>
      <c r="K187" s="490">
        <f>J$268*(J186-(J48+Y94*$AD94))</f>
        <v>4.2262639405241469</v>
      </c>
      <c r="L187" s="490">
        <f>K$268*(K186-(K48+Z94*$AD94))</f>
        <v>2.3843719458973109</v>
      </c>
      <c r="M187" s="713">
        <f>L$268*(L186-(L48+AA94*$AD94))</f>
        <v>1.3507727122325164</v>
      </c>
      <c r="N187" s="489">
        <f>SUM(B187:M187)</f>
        <v>455.05737962882733</v>
      </c>
      <c r="O187" s="711">
        <f>B187/N187</f>
        <v>0</v>
      </c>
      <c r="P187" s="488">
        <v>2016</v>
      </c>
      <c r="Q187" s="714">
        <f t="shared" ref="Q187:AB187" si="79">Q49*B312*B187</f>
        <v>0</v>
      </c>
      <c r="R187" s="463">
        <f t="shared" si="79"/>
        <v>10058.262959600435</v>
      </c>
      <c r="S187" s="463">
        <f t="shared" si="79"/>
        <v>15550.754759589861</v>
      </c>
      <c r="T187" s="463">
        <f t="shared" si="79"/>
        <v>15144.978335867501</v>
      </c>
      <c r="U187" s="463">
        <f t="shared" si="79"/>
        <v>17716.453593239439</v>
      </c>
      <c r="V187" s="463">
        <f t="shared" si="79"/>
        <v>25693.982228546127</v>
      </c>
      <c r="W187" s="463">
        <f t="shared" si="79"/>
        <v>21927.687406251735</v>
      </c>
      <c r="X187" s="463">
        <f t="shared" si="79"/>
        <v>20821.674361011974</v>
      </c>
      <c r="Y187" s="463">
        <f t="shared" si="79"/>
        <v>7328.3201568292952</v>
      </c>
      <c r="Z187" s="463">
        <f t="shared" si="79"/>
        <v>2056.1586813715471</v>
      </c>
      <c r="AA187" s="463">
        <f t="shared" si="79"/>
        <v>1312.7896098297404</v>
      </c>
      <c r="AB187" s="715">
        <f t="shared" si="79"/>
        <v>741.91191219370967</v>
      </c>
      <c r="AC187" s="602">
        <f t="shared" ref="AC187:AC189" si="80">SUM(Q187:AB187)</f>
        <v>138352.97400433134</v>
      </c>
      <c r="AD187" s="587">
        <f t="shared" ref="AD187:AD189" si="81">AC187*2204.62/2000</f>
        <v>152507.86677471446</v>
      </c>
      <c r="AE187" s="494"/>
      <c r="AF187" s="487"/>
      <c r="AI187" s="634">
        <v>2016</v>
      </c>
      <c r="AJ187" s="737">
        <f>[8]rankings!$M38</f>
        <v>144920</v>
      </c>
      <c r="AK187" s="497"/>
      <c r="AL187" s="496"/>
      <c r="AM187" s="507"/>
      <c r="AN187" s="499"/>
      <c r="AO187" s="735">
        <f>[8]rankings!$S38</f>
        <v>0.1</v>
      </c>
      <c r="AP187" s="738"/>
      <c r="AQ187" s="738"/>
    </row>
    <row r="188" spans="1:43" ht="11.25" customHeight="1">
      <c r="A188" s="36">
        <v>2017</v>
      </c>
      <c r="B188" s="581">
        <f>+B258</f>
        <v>0</v>
      </c>
      <c r="C188" s="194"/>
      <c r="D188" s="194"/>
      <c r="E188" s="194"/>
      <c r="F188" s="194"/>
      <c r="G188" s="194"/>
      <c r="H188" s="194"/>
      <c r="I188" s="194"/>
      <c r="J188" s="194"/>
      <c r="K188" s="194"/>
      <c r="L188" s="194"/>
      <c r="M188" s="196"/>
      <c r="N188" s="204"/>
      <c r="P188" s="498">
        <v>2017</v>
      </c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602">
        <f t="shared" si="80"/>
        <v>0</v>
      </c>
      <c r="AD188" s="587">
        <f t="shared" si="81"/>
        <v>0</v>
      </c>
      <c r="AF188" s="198"/>
      <c r="AI188" s="635">
        <v>2017</v>
      </c>
      <c r="AJ188" s="743">
        <f>[6]TotalRunBiomass!$Z$59</f>
        <v>90268.599999999991</v>
      </c>
      <c r="AK188" s="453"/>
      <c r="AL188" s="463"/>
      <c r="AM188" s="462"/>
      <c r="AN188" s="210"/>
      <c r="AO188" s="736">
        <f>[8]rankings!$S39</f>
        <v>0.25</v>
      </c>
      <c r="AP188" s="738"/>
      <c r="AQ188" s="738"/>
    </row>
    <row r="189" spans="1:43" ht="11.25" customHeight="1">
      <c r="A189" s="633">
        <v>2018</v>
      </c>
      <c r="B189" s="209">
        <f>MEDIAN(B177:B186)</f>
        <v>118.75686929099459</v>
      </c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P189" s="488">
        <v>2018</v>
      </c>
      <c r="AC189" s="602">
        <f t="shared" si="80"/>
        <v>0</v>
      </c>
      <c r="AD189" s="587">
        <f t="shared" si="81"/>
        <v>0</v>
      </c>
      <c r="AI189" s="59"/>
      <c r="AJ189" s="59"/>
      <c r="AK189" s="59"/>
      <c r="AL189" s="59"/>
      <c r="AM189" s="396"/>
      <c r="AN189" s="210"/>
      <c r="AO189" s="83"/>
      <c r="AP189" s="5"/>
      <c r="AQ189" s="5"/>
    </row>
    <row r="190" spans="1:43" ht="11.25" customHeight="1" thickBot="1">
      <c r="A190" s="7"/>
      <c r="B190" s="5"/>
      <c r="C190" s="5"/>
      <c r="D190" s="5"/>
      <c r="E190" s="5"/>
      <c r="G190" s="493"/>
      <c r="AE190" s="7"/>
      <c r="AI190" s="22"/>
      <c r="AJ190" s="211"/>
      <c r="AP190" s="5"/>
      <c r="AQ190" s="5"/>
    </row>
    <row r="191" spans="1:43" ht="11.25" customHeight="1">
      <c r="A191" s="7"/>
      <c r="B191" s="5"/>
      <c r="C191" s="5"/>
      <c r="D191" s="5"/>
      <c r="E191" s="5"/>
      <c r="G191" s="125"/>
      <c r="H191" s="5" t="s">
        <v>12</v>
      </c>
      <c r="N191" s="166"/>
      <c r="O191" s="167"/>
      <c r="P191" s="377"/>
      <c r="Q191" s="378">
        <v>4</v>
      </c>
      <c r="R191" s="378">
        <v>5</v>
      </c>
      <c r="S191" s="378">
        <v>6</v>
      </c>
      <c r="T191" s="378">
        <v>7</v>
      </c>
      <c r="U191" s="378">
        <v>8</v>
      </c>
      <c r="V191" s="378">
        <v>9</v>
      </c>
      <c r="W191" s="378">
        <v>10</v>
      </c>
      <c r="X191" s="378">
        <v>11</v>
      </c>
      <c r="Y191" s="378">
        <v>12</v>
      </c>
      <c r="Z191" s="378">
        <v>13</v>
      </c>
      <c r="AA191" s="378">
        <v>14</v>
      </c>
      <c r="AB191" s="379">
        <v>15</v>
      </c>
      <c r="AC191" s="380"/>
      <c r="AD191" s="201"/>
      <c r="AE191" s="7"/>
      <c r="AI191" s="22"/>
      <c r="AJ191" s="211"/>
      <c r="AP191" s="5"/>
      <c r="AQ191" s="5"/>
    </row>
    <row r="192" spans="1:43" ht="11.25" customHeight="1">
      <c r="A192" s="7"/>
      <c r="B192" s="5"/>
      <c r="C192" s="5"/>
      <c r="D192" s="5"/>
      <c r="E192" s="5"/>
      <c r="F192" s="5"/>
      <c r="G192" s="214"/>
      <c r="H192" s="5"/>
      <c r="L192" s="214"/>
      <c r="N192" s="381" t="s">
        <v>50</v>
      </c>
      <c r="O192" s="215"/>
      <c r="P192" s="215"/>
      <c r="Q192" s="382">
        <f>(+Q187/$AC$187)</f>
        <v>0</v>
      </c>
      <c r="R192" s="506">
        <f>(+R187/$AC$187)</f>
        <v>7.2700012645088116E-2</v>
      </c>
      <c r="S192" s="506">
        <f>(+S187/$AC$187)</f>
        <v>0.11239913613351761</v>
      </c>
      <c r="T192" s="506">
        <f>(+T187/$AC$187)</f>
        <v>0.10946622900490283</v>
      </c>
      <c r="U192" s="506">
        <f>(+U187/$AC$187)</f>
        <v>0.12805256786662786</v>
      </c>
      <c r="V192" s="506">
        <f>(+V187/$AC$187)</f>
        <v>0.18571326285867726</v>
      </c>
      <c r="W192" s="506">
        <f>(+W187/$AC$187)</f>
        <v>0.15849090027920365</v>
      </c>
      <c r="X192" s="506">
        <f>(+X187/$AC$187)</f>
        <v>0.15049676026740214</v>
      </c>
      <c r="Y192" s="506">
        <f>(+Y187/$AC$187)</f>
        <v>5.2968287885158664E-2</v>
      </c>
      <c r="Z192" s="506">
        <f>(+Z187/$AC$187)</f>
        <v>1.4861687623044345E-2</v>
      </c>
      <c r="AA192" s="506">
        <f>(+AA187/$AC$187)</f>
        <v>9.4886981597420636E-3</v>
      </c>
      <c r="AB192" s="506">
        <f>(+AB187/$AC$187)</f>
        <v>5.3624572766356512E-3</v>
      </c>
      <c r="AC192" s="383">
        <f>SUM(Q192:AB192)</f>
        <v>1.0000000000000002</v>
      </c>
      <c r="AF192" s="5"/>
      <c r="AG192" s="5"/>
      <c r="AI192" s="5"/>
      <c r="AJ192" s="5"/>
      <c r="AK192" s="212" t="s">
        <v>51</v>
      </c>
      <c r="AL192" s="213">
        <f>SUM(AL149:AL186)</f>
        <v>23406.750319140789</v>
      </c>
      <c r="AM192" s="397">
        <f>SUM(AM149:AM186)</f>
        <v>0.18468562511333531</v>
      </c>
      <c r="AN192" s="5">
        <f>SUM(AN149:AN186)</f>
        <v>0.27413270039319426</v>
      </c>
      <c r="AO192" s="224">
        <f>SUMPRODUCT(AN149:AN185,AO149:AO185)</f>
        <v>0.15146131078540273</v>
      </c>
      <c r="AP192" s="5"/>
      <c r="AQ192" s="5"/>
    </row>
    <row r="193" spans="1:43" ht="11.25" customHeight="1">
      <c r="A193" s="21" t="s">
        <v>53</v>
      </c>
      <c r="B193" s="19"/>
      <c r="C193" s="19"/>
      <c r="D193" s="19"/>
      <c r="E193" s="19"/>
      <c r="F193" s="19"/>
      <c r="G193" s="20"/>
      <c r="H193" s="5"/>
      <c r="I193" s="5"/>
      <c r="J193" s="5"/>
      <c r="K193" s="5"/>
      <c r="N193" s="381" t="s">
        <v>120</v>
      </c>
      <c r="O193" s="215"/>
      <c r="P193" s="215"/>
      <c r="Q193" s="382">
        <f>Q192</f>
        <v>0</v>
      </c>
      <c r="R193" s="382">
        <f t="shared" ref="R193:X193" si="82">R192</f>
        <v>7.2700012645088116E-2</v>
      </c>
      <c r="S193" s="382">
        <f t="shared" si="82"/>
        <v>0.11239913613351761</v>
      </c>
      <c r="T193" s="382">
        <f t="shared" si="82"/>
        <v>0.10946622900490283</v>
      </c>
      <c r="U193" s="382">
        <f t="shared" si="82"/>
        <v>0.12805256786662786</v>
      </c>
      <c r="V193" s="382">
        <f t="shared" si="82"/>
        <v>0.18571326285867726</v>
      </c>
      <c r="W193" s="382">
        <f t="shared" si="82"/>
        <v>0.15849090027920365</v>
      </c>
      <c r="X193" s="382">
        <f t="shared" si="82"/>
        <v>0.15049676026740214</v>
      </c>
      <c r="Y193" s="382">
        <f>SUM(Y192:AB192)</f>
        <v>8.2681130944580711E-2</v>
      </c>
      <c r="Z193" s="382"/>
      <c r="AA193" s="382"/>
      <c r="AB193" s="382"/>
      <c r="AC193" s="383">
        <f>SUM(Q193:AB193)</f>
        <v>1.0000000000000002</v>
      </c>
      <c r="AG193" s="5"/>
      <c r="AH193" s="5"/>
      <c r="AI193" s="5"/>
      <c r="AJ193" s="5"/>
      <c r="AK193" s="431"/>
      <c r="AL193" s="128"/>
      <c r="AM193" s="395"/>
      <c r="AN193" s="5"/>
      <c r="AO193" s="162"/>
      <c r="AP193" s="5"/>
      <c r="AQ193" s="5"/>
    </row>
    <row r="194" spans="1:43" ht="11.25" customHeight="1">
      <c r="A194" s="5"/>
      <c r="B194" s="5"/>
      <c r="C194" s="5"/>
      <c r="H194" s="5"/>
      <c r="N194" s="384"/>
      <c r="O194" s="123" t="s">
        <v>52</v>
      </c>
      <c r="P194" s="22"/>
      <c r="Q194" s="141">
        <f>+Q187/Q49</f>
        <v>0</v>
      </c>
      <c r="R194" s="141">
        <f>+R187/R49</f>
        <v>39.01210749668472</v>
      </c>
      <c r="S194" s="141">
        <f>+S187/S49</f>
        <v>51.173187423644258</v>
      </c>
      <c r="T194" s="141">
        <f>+T187/T49</f>
        <v>43.797312157081151</v>
      </c>
      <c r="U194" s="141">
        <f>+U187/U49</f>
        <v>47.498965030765</v>
      </c>
      <c r="V194" s="141">
        <f>+V187/V49</f>
        <v>63.987698027939182</v>
      </c>
      <c r="W194" s="141">
        <f>+W187/W49</f>
        <v>52.953331388931772</v>
      </c>
      <c r="X194" s="141">
        <f>+X187/X49</f>
        <v>46.893619573901553</v>
      </c>
      <c r="Y194" s="141">
        <f>+Y187/Y49</f>
        <v>15.665274506723687</v>
      </c>
      <c r="Z194" s="141">
        <f>+Z187/Z49</f>
        <v>4.2262639405241469</v>
      </c>
      <c r="AA194" s="141">
        <f>+AA187/AA49</f>
        <v>2.3843719458973109</v>
      </c>
      <c r="AB194" s="141">
        <f>+AB187/AB49</f>
        <v>1.3507727122325164</v>
      </c>
      <c r="AC194" s="385">
        <f>SUM(Q194:AB194)</f>
        <v>368.94290420432532</v>
      </c>
      <c r="AD194" s="5" t="s">
        <v>127</v>
      </c>
      <c r="AG194" s="5"/>
      <c r="AH194" s="5"/>
      <c r="AI194" s="5"/>
      <c r="AJ194" s="5"/>
      <c r="AK194" s="29" t="s">
        <v>30</v>
      </c>
      <c r="AL194" s="83">
        <f>COUNT(AL152:AL186)</f>
        <v>18</v>
      </c>
      <c r="AM194" s="83"/>
      <c r="AN194" s="83">
        <f>AL194</f>
        <v>18</v>
      </c>
      <c r="AO194" s="164"/>
      <c r="AP194" s="5"/>
      <c r="AQ194" s="5"/>
    </row>
    <row r="195" spans="1:43" ht="11.25" customHeight="1">
      <c r="A195" s="7"/>
      <c r="B195" s="5"/>
      <c r="C195" s="5"/>
      <c r="H195" s="5"/>
      <c r="I195" s="5"/>
      <c r="N195" s="389" t="s">
        <v>105</v>
      </c>
      <c r="O195" s="390"/>
      <c r="P195" s="391"/>
      <c r="Q195" s="392">
        <f>Q194/$AC$194</f>
        <v>0</v>
      </c>
      <c r="R195" s="392">
        <f>R194/$AC$194</f>
        <v>0.10574022986244862</v>
      </c>
      <c r="S195" s="392">
        <f>S194/$AC$194</f>
        <v>0.13870218627461089</v>
      </c>
      <c r="T195" s="392">
        <f>T194/$AC$194</f>
        <v>0.11871027104189985</v>
      </c>
      <c r="U195" s="392">
        <f>U194/$AC$194</f>
        <v>0.12874340308347404</v>
      </c>
      <c r="V195" s="392">
        <f>V194/$AC$194</f>
        <v>0.17343523157312701</v>
      </c>
      <c r="W195" s="392">
        <f>W194/$AC$194</f>
        <v>0.14352717123841346</v>
      </c>
      <c r="X195" s="392">
        <f>X194/$AC$194</f>
        <v>0.12710264661420692</v>
      </c>
      <c r="Y195" s="392">
        <f>Y194/$AC$194</f>
        <v>4.2459888313905764E-2</v>
      </c>
      <c r="Z195" s="392">
        <f>Z194/$AC$194</f>
        <v>1.1455062266717529E-2</v>
      </c>
      <c r="AA195" s="392">
        <f>AA194/$AC$194</f>
        <v>6.4627125734794321E-3</v>
      </c>
      <c r="AB195" s="392">
        <f>AB194/$AC$194</f>
        <v>3.6611971577164178E-3</v>
      </c>
      <c r="AC195" s="383">
        <f>SUM(Q195:AB195)</f>
        <v>1</v>
      </c>
      <c r="AD195" s="215"/>
      <c r="AE195" s="32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1.25" customHeight="1">
      <c r="A196" s="7"/>
      <c r="D196" s="88" t="s">
        <v>55</v>
      </c>
      <c r="E196" s="5"/>
      <c r="F196" s="26" t="s">
        <v>56</v>
      </c>
      <c r="G196" s="20"/>
      <c r="H196" s="5"/>
      <c r="I196" s="5"/>
      <c r="N196" s="389" t="s">
        <v>106</v>
      </c>
      <c r="O196" s="5"/>
      <c r="P196" s="216"/>
      <c r="Q196" s="392">
        <f>Q194/$AC$194</f>
        <v>0</v>
      </c>
      <c r="R196" s="392">
        <f>R194/$AC$194</f>
        <v>0.10574022986244862</v>
      </c>
      <c r="S196" s="392">
        <f>S194/$AC$194</f>
        <v>0.13870218627461089</v>
      </c>
      <c r="T196" s="392">
        <f>T194/$AC$194</f>
        <v>0.11871027104189985</v>
      </c>
      <c r="U196" s="392">
        <f>U194/$AC$194</f>
        <v>0.12874340308347404</v>
      </c>
      <c r="V196" s="392">
        <f>V194/$AC$194</f>
        <v>0.17343523157312701</v>
      </c>
      <c r="W196" s="392">
        <f>W194/$AC$194</f>
        <v>0.14352717123841346</v>
      </c>
      <c r="X196" s="392">
        <f>X194/$AC$194</f>
        <v>0.12710264661420692</v>
      </c>
      <c r="Y196" s="392">
        <f>SUM(Y194:AB194)/AC194</f>
        <v>6.4038860311819143E-2</v>
      </c>
      <c r="Z196" s="216"/>
      <c r="AA196" s="216"/>
      <c r="AB196" s="216"/>
      <c r="AC196" s="387"/>
      <c r="AD196" s="215"/>
      <c r="AE196" s="220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1.25" customHeight="1">
      <c r="C197" s="187" t="s">
        <v>59</v>
      </c>
      <c r="D197" s="94" t="s">
        <v>60</v>
      </c>
      <c r="E197" s="95" t="s">
        <v>27</v>
      </c>
      <c r="F197" s="221" t="s">
        <v>61</v>
      </c>
      <c r="G197" s="95" t="s">
        <v>62</v>
      </c>
      <c r="H197" s="5"/>
      <c r="I197" s="5"/>
      <c r="N197" s="386"/>
      <c r="O197" s="5" t="s">
        <v>54</v>
      </c>
      <c r="P197" s="216"/>
      <c r="Q197" s="217" t="e">
        <f>Q187/Q194</f>
        <v>#DIV/0!</v>
      </c>
      <c r="R197" s="217">
        <f>R187/R194</f>
        <v>257.82413730032897</v>
      </c>
      <c r="S197" s="217">
        <f>S187/S194</f>
        <v>303.88481825161296</v>
      </c>
      <c r="T197" s="217">
        <f>T187/T194</f>
        <v>345.79698136610102</v>
      </c>
      <c r="U197" s="217">
        <f>U187/U194</f>
        <v>372.98609731316299</v>
      </c>
      <c r="V197" s="217">
        <f>V187/V194</f>
        <v>401.545656749947</v>
      </c>
      <c r="W197" s="217">
        <f>W187/W194</f>
        <v>414.09457783113203</v>
      </c>
      <c r="X197" s="217">
        <f>X187/X194</f>
        <v>444.01934741246095</v>
      </c>
      <c r="Y197" s="217">
        <f>Y187/Y194</f>
        <v>467.80668629100046</v>
      </c>
      <c r="Z197" s="217">
        <f>Z187/Z194</f>
        <v>486.51923076923106</v>
      </c>
      <c r="AA197" s="217">
        <f>AA187/AA194</f>
        <v>550.58088235294099</v>
      </c>
      <c r="AB197" s="217">
        <f>AB187/AB194</f>
        <v>549.25</v>
      </c>
      <c r="AC197" s="661">
        <f>AC187/AC194</f>
        <v>374.99833287946819</v>
      </c>
      <c r="AD197" s="218" t="s">
        <v>128</v>
      </c>
      <c r="AE197" s="220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1.25" customHeight="1">
      <c r="A198" s="223" t="s">
        <v>65</v>
      </c>
      <c r="B198" s="224"/>
      <c r="C198" s="105">
        <f>AN194</f>
        <v>18</v>
      </c>
      <c r="D198" s="225">
        <f>AO192</f>
        <v>0.15146131078540273</v>
      </c>
      <c r="E198" s="606">
        <v>1</v>
      </c>
      <c r="F198" s="226">
        <f>D198*E198</f>
        <v>0.15146131078540273</v>
      </c>
      <c r="G198" s="226">
        <f>F198/C198</f>
        <v>8.4145172658557071E-3</v>
      </c>
      <c r="H198" s="5"/>
      <c r="I198" s="5"/>
      <c r="N198" s="386"/>
      <c r="O198" s="5"/>
      <c r="P198" s="216"/>
      <c r="Q198" s="219" t="s">
        <v>57</v>
      </c>
      <c r="R198" s="219"/>
      <c r="S198" s="219"/>
      <c r="T198" s="219" t="s">
        <v>58</v>
      </c>
      <c r="U198" s="219"/>
      <c r="V198" s="219" t="s">
        <v>118</v>
      </c>
      <c r="W198" s="216"/>
      <c r="X198" s="219" t="s">
        <v>119</v>
      </c>
      <c r="Y198" s="216"/>
      <c r="Z198" s="216"/>
      <c r="AA198" s="216"/>
      <c r="AB198" s="216"/>
      <c r="AC198" s="388"/>
      <c r="AD198" s="220"/>
      <c r="AE198" s="138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1.25" customHeight="1">
      <c r="A199" s="229" t="s">
        <v>33</v>
      </c>
      <c r="B199" s="162"/>
      <c r="C199" s="206">
        <f>AS143</f>
        <v>333</v>
      </c>
      <c r="D199" s="226">
        <f>AT142</f>
        <v>0.47695078344714747</v>
      </c>
      <c r="E199" s="230">
        <v>0.5</v>
      </c>
      <c r="F199" s="226">
        <f>D199*E199</f>
        <v>0.23847539172357374</v>
      </c>
      <c r="G199" s="226">
        <f>F199/C199</f>
        <v>7.1614231748820946E-4</v>
      </c>
      <c r="H199" s="227"/>
      <c r="I199" s="5"/>
      <c r="N199" s="386"/>
      <c r="O199" s="5" t="s">
        <v>63</v>
      </c>
      <c r="P199" s="216"/>
      <c r="Q199" s="222">
        <f>Q192+R192+S192</f>
        <v>0.18509914877860573</v>
      </c>
      <c r="R199" s="222">
        <f>Q199+T199</f>
        <v>0.42261794565013644</v>
      </c>
      <c r="S199" s="216"/>
      <c r="T199" s="222">
        <f>+T192+U192</f>
        <v>0.23751879687153069</v>
      </c>
      <c r="U199" s="222"/>
      <c r="V199" s="222">
        <f>SUM(V192:X192)</f>
        <v>0.49470092340528304</v>
      </c>
      <c r="W199" s="216"/>
      <c r="X199" s="222">
        <f>SUM(Y192:AB192)</f>
        <v>8.2681130944580711E-2</v>
      </c>
      <c r="Y199" s="222"/>
      <c r="Z199" s="216"/>
      <c r="AA199" s="216"/>
      <c r="AB199" s="216"/>
      <c r="AC199" s="388" t="s">
        <v>64</v>
      </c>
      <c r="AD199" s="220"/>
      <c r="AE199" s="138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1.25" customHeight="1">
      <c r="A200" s="231" t="s">
        <v>16</v>
      </c>
      <c r="B200" s="162"/>
      <c r="C200" s="206">
        <f>AS98</f>
        <v>417</v>
      </c>
      <c r="D200" s="226">
        <f>AT97</f>
        <v>0.59886836800923637</v>
      </c>
      <c r="E200" s="230">
        <v>0.25</v>
      </c>
      <c r="F200" s="226">
        <f>D200*E200</f>
        <v>0.14971709200230909</v>
      </c>
      <c r="G200" s="226">
        <f>F200/C200</f>
        <v>3.5903379377052541E-4</v>
      </c>
      <c r="H200" s="227"/>
      <c r="I200" s="5"/>
      <c r="N200" s="386"/>
      <c r="O200" s="227" t="s">
        <v>66</v>
      </c>
      <c r="P200" s="216"/>
      <c r="Q200" s="228">
        <f>Q195+R195+S195</f>
        <v>0.24444241613705953</v>
      </c>
      <c r="R200" s="216"/>
      <c r="S200" s="216"/>
      <c r="T200" s="228">
        <f>T195+U195</f>
        <v>0.24745367412537389</v>
      </c>
      <c r="U200" s="216"/>
      <c r="V200" s="222">
        <f>SUM(V195:X195)</f>
        <v>0.44406504942574743</v>
      </c>
      <c r="W200" s="216"/>
      <c r="X200" s="222">
        <f>SUM(Y195:AB195)</f>
        <v>6.4038860311819143E-2</v>
      </c>
      <c r="Y200" s="216"/>
      <c r="Z200" s="216"/>
      <c r="AA200" s="216"/>
      <c r="AB200" s="216"/>
      <c r="AC200" s="388"/>
      <c r="AD200" s="138"/>
      <c r="AE200" s="138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1.25" customHeight="1" thickBot="1">
      <c r="A201" s="233"/>
      <c r="B201" s="164"/>
      <c r="C201" s="109"/>
      <c r="D201" s="234"/>
      <c r="E201" s="130"/>
      <c r="F201" s="130"/>
      <c r="G201" s="130"/>
      <c r="H201" s="227"/>
      <c r="I201" s="22"/>
      <c r="N201" s="386"/>
      <c r="O201" s="227"/>
      <c r="P201" s="216"/>
      <c r="Q201" s="216"/>
      <c r="R201" s="216"/>
      <c r="S201" s="216"/>
      <c r="T201" s="216"/>
      <c r="U201" s="216"/>
      <c r="V201" s="216"/>
      <c r="W201" s="216"/>
      <c r="X201" s="216"/>
      <c r="Y201" s="216"/>
      <c r="Z201" s="216"/>
      <c r="AA201" s="216"/>
      <c r="AB201" s="216"/>
      <c r="AC201" s="388"/>
      <c r="AD201" s="138"/>
      <c r="AE201" s="138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1.25" customHeight="1" thickBot="1">
      <c r="A202" s="83" t="s">
        <v>18</v>
      </c>
      <c r="B202" s="19"/>
      <c r="C202" s="235">
        <f>+SUM(C198:C201)</f>
        <v>768</v>
      </c>
      <c r="D202" s="5"/>
      <c r="E202" s="5"/>
      <c r="F202" s="236">
        <f>+SUM(F198:F200)</f>
        <v>0.53965379451128559</v>
      </c>
      <c r="G202" s="25"/>
      <c r="H202" s="237"/>
      <c r="N202" s="386"/>
      <c r="O202" s="227"/>
      <c r="P202" s="216"/>
      <c r="Q202" s="398"/>
      <c r="R202" s="398"/>
      <c r="S202" s="398"/>
      <c r="T202" s="398"/>
      <c r="U202" s="398"/>
      <c r="V202" s="398"/>
      <c r="W202" s="398"/>
      <c r="X202" s="398"/>
      <c r="Y202" s="398"/>
      <c r="Z202" s="398"/>
      <c r="AA202" s="398"/>
      <c r="AB202" s="398"/>
      <c r="AC202" s="744"/>
      <c r="AD202" s="232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1.25" customHeight="1">
      <c r="A203" s="216"/>
      <c r="B203" s="5"/>
      <c r="C203" s="5"/>
      <c r="D203" s="237"/>
      <c r="E203" s="5"/>
      <c r="F203" s="5"/>
      <c r="G203" s="5"/>
      <c r="H203" s="5"/>
      <c r="N203" s="386"/>
      <c r="O203" s="227"/>
      <c r="P203" s="216"/>
      <c r="Q203" s="216"/>
      <c r="R203" s="216"/>
      <c r="S203" s="216"/>
      <c r="T203" s="216"/>
      <c r="U203" s="216"/>
      <c r="V203" s="216"/>
      <c r="W203" s="216"/>
      <c r="X203" s="216"/>
      <c r="Y203" s="216"/>
      <c r="Z203" s="216"/>
      <c r="AA203" s="216"/>
      <c r="AB203" s="216"/>
      <c r="AC203" s="744"/>
      <c r="AD203" s="138"/>
      <c r="AE203" s="138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1.25" customHeight="1">
      <c r="A204" s="216"/>
      <c r="B204" s="5"/>
      <c r="C204" s="5"/>
      <c r="D204" s="237"/>
      <c r="E204" s="5"/>
      <c r="F204" s="5"/>
      <c r="G204" s="5"/>
      <c r="H204" s="5"/>
      <c r="I204" s="238"/>
      <c r="J204" s="5"/>
      <c r="K204" s="5"/>
      <c r="L204" s="239"/>
      <c r="M204" s="5"/>
      <c r="N204" s="386"/>
      <c r="O204" s="227"/>
      <c r="P204" s="5"/>
      <c r="Q204" s="128"/>
      <c r="R204" s="496"/>
      <c r="S204" s="496"/>
      <c r="T204" s="496"/>
      <c r="U204" s="496"/>
      <c r="V204" s="496"/>
      <c r="W204" s="496"/>
      <c r="X204" s="496"/>
      <c r="Y204" s="496"/>
      <c r="Z204" s="496"/>
      <c r="AA204" s="496"/>
      <c r="AB204" s="496"/>
      <c r="AC204" s="744"/>
      <c r="AD204" s="218"/>
      <c r="AE204" s="138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1.25" customHeight="1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376"/>
      <c r="O205" s="373"/>
      <c r="P205" s="374"/>
      <c r="Q205" s="374"/>
      <c r="R205" s="374"/>
      <c r="S205" s="374"/>
      <c r="T205" s="374"/>
      <c r="U205" s="374"/>
      <c r="V205" s="374"/>
      <c r="W205" s="374"/>
      <c r="X205" s="374"/>
      <c r="Y205" s="374"/>
      <c r="Z205" s="374"/>
      <c r="AA205" s="374"/>
      <c r="AB205" s="374"/>
      <c r="AC205" s="375"/>
      <c r="AD205" s="138"/>
      <c r="AE205" s="138"/>
      <c r="AG205" s="5"/>
      <c r="AH205" s="141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1.25" customHeight="1">
      <c r="A206" s="5"/>
      <c r="B206" s="5"/>
      <c r="C206" s="5"/>
      <c r="D206" s="5"/>
      <c r="E206" s="5"/>
      <c r="F206" s="5"/>
      <c r="G206" s="5"/>
      <c r="H206" s="7"/>
      <c r="I206" s="5"/>
      <c r="J206" s="5"/>
      <c r="K206" s="5"/>
      <c r="P206" s="216"/>
      <c r="Q206" s="420"/>
      <c r="R206" s="420"/>
      <c r="S206" s="420"/>
      <c r="T206" s="420"/>
      <c r="U206" s="420"/>
      <c r="V206" s="420"/>
      <c r="W206" s="420"/>
      <c r="X206" s="420"/>
      <c r="Y206" s="420"/>
      <c r="Z206" s="216"/>
      <c r="AA206" s="216"/>
      <c r="AB206" s="216"/>
      <c r="AC206" s="140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1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P207" s="216"/>
      <c r="Q207" s="222"/>
      <c r="R207" s="222"/>
      <c r="S207" s="216"/>
      <c r="T207" s="216"/>
      <c r="U207" s="216"/>
      <c r="V207" s="216"/>
      <c r="W207" s="216"/>
      <c r="X207" s="216"/>
      <c r="Y207" s="216"/>
      <c r="Z207" s="216"/>
      <c r="AA207" s="216"/>
      <c r="AB207" s="216"/>
      <c r="AC207" s="5"/>
      <c r="AF207" s="5"/>
      <c r="AG207" s="5"/>
      <c r="AH207" s="5"/>
      <c r="AI207" s="5"/>
      <c r="AJ207" s="240"/>
      <c r="AK207" s="5"/>
      <c r="AL207" s="5"/>
      <c r="AM207" s="5"/>
      <c r="AN207" s="5"/>
      <c r="AO207" s="5"/>
      <c r="AP207" s="5"/>
      <c r="AQ207" s="5"/>
    </row>
    <row r="208" spans="1:43" ht="11.25" customHeight="1">
      <c r="A208" s="23"/>
      <c r="B208" s="141"/>
      <c r="C208" s="141"/>
      <c r="D208" s="141"/>
      <c r="E208" s="141"/>
      <c r="F208" s="141"/>
      <c r="G208" s="141"/>
      <c r="P208" s="241"/>
      <c r="Q208" s="241"/>
      <c r="R208" s="241"/>
      <c r="S208" s="241"/>
      <c r="T208" s="241"/>
      <c r="U208" s="241"/>
      <c r="V208" s="241"/>
      <c r="W208" s="241"/>
      <c r="X208" s="241"/>
      <c r="Y208" s="241"/>
      <c r="Z208" s="241"/>
      <c r="AA208" s="241"/>
      <c r="AB208" s="241"/>
    </row>
    <row r="209" spans="1:45" ht="11.25" customHeight="1">
      <c r="A209" s="242" t="s">
        <v>67</v>
      </c>
      <c r="B209" s="19"/>
      <c r="C209" s="19"/>
      <c r="D209" s="19"/>
      <c r="E209" s="19"/>
      <c r="F209" s="19"/>
      <c r="G209" s="20"/>
      <c r="K209" s="243"/>
      <c r="P209" s="244" t="s">
        <v>68</v>
      </c>
      <c r="Q209" s="245"/>
      <c r="R209" s="245"/>
      <c r="S209" s="245"/>
      <c r="T209" s="245"/>
      <c r="U209" s="245"/>
      <c r="V209" s="246"/>
      <c r="W209" s="241"/>
      <c r="X209" s="241"/>
      <c r="Y209" s="241"/>
      <c r="Z209" s="247"/>
      <c r="AA209" s="241"/>
      <c r="AB209" s="241"/>
      <c r="AF209" s="242" t="s">
        <v>67</v>
      </c>
      <c r="AG209" s="19"/>
      <c r="AH209" s="19"/>
      <c r="AI209" s="19"/>
      <c r="AJ209" s="19"/>
      <c r="AK209" s="19"/>
      <c r="AL209" s="20"/>
      <c r="AM209" s="20"/>
      <c r="AP209" s="243"/>
    </row>
    <row r="210" spans="1:45" ht="11.25" customHeight="1">
      <c r="A210" s="25" t="s">
        <v>69</v>
      </c>
      <c r="B210" s="5"/>
      <c r="C210" s="5"/>
      <c r="D210" s="5"/>
      <c r="E210" s="5"/>
      <c r="F210" s="5"/>
      <c r="G210" s="5"/>
      <c r="K210" s="243"/>
      <c r="O210" s="6"/>
      <c r="P210" s="732" t="s">
        <v>124</v>
      </c>
      <c r="Q210" s="733"/>
      <c r="R210" s="733"/>
      <c r="S210" s="733"/>
      <c r="T210" s="733"/>
      <c r="U210" s="733"/>
      <c r="V210" s="733"/>
      <c r="W210" s="733"/>
      <c r="X210" s="241"/>
      <c r="Y210" s="241"/>
      <c r="Z210" s="247"/>
      <c r="AA210" s="241"/>
      <c r="AB210" s="241"/>
      <c r="AF210" s="25"/>
      <c r="AG210" s="5"/>
      <c r="AH210" s="5"/>
      <c r="AI210" s="5"/>
      <c r="AJ210" s="5"/>
      <c r="AK210" s="5"/>
      <c r="AL210" s="5"/>
      <c r="AM210" s="5"/>
      <c r="AP210" s="243"/>
    </row>
    <row r="211" spans="1:45" ht="11.25" customHeight="1">
      <c r="O211" s="7"/>
      <c r="P211" s="241"/>
      <c r="Q211" s="241"/>
      <c r="R211" s="241"/>
      <c r="S211" s="241"/>
      <c r="T211" s="241"/>
      <c r="U211" s="241"/>
      <c r="V211" s="241"/>
      <c r="W211" s="241"/>
      <c r="X211" s="241"/>
      <c r="Y211" s="241"/>
      <c r="Z211" s="241"/>
      <c r="AA211" s="241"/>
      <c r="AB211" s="241"/>
    </row>
    <row r="212" spans="1:45" ht="11.25" customHeight="1">
      <c r="A212" s="248" t="s">
        <v>70</v>
      </c>
      <c r="B212" s="249"/>
      <c r="C212" s="249"/>
      <c r="D212" s="250"/>
      <c r="E212" s="251"/>
      <c r="F212" s="251"/>
      <c r="G212" s="251"/>
      <c r="H212" s="251"/>
      <c r="I212" s="251"/>
      <c r="J212" s="251"/>
      <c r="K212" s="251"/>
      <c r="L212" s="251"/>
      <c r="M212" s="251"/>
      <c r="N212" s="252"/>
      <c r="O212" s="7"/>
      <c r="P212" s="253" t="s">
        <v>70</v>
      </c>
      <c r="Q212" s="245"/>
      <c r="R212" s="245"/>
      <c r="S212" s="246"/>
      <c r="T212" s="241"/>
      <c r="U212" s="241"/>
      <c r="V212" s="241"/>
      <c r="W212" s="241"/>
      <c r="X212" s="241"/>
      <c r="Y212" s="241"/>
      <c r="Z212" s="241"/>
      <c r="AA212" s="241"/>
      <c r="AB212" s="241"/>
      <c r="AF212" s="21" t="s">
        <v>70</v>
      </c>
      <c r="AG212" s="19"/>
      <c r="AH212" s="19"/>
      <c r="AI212" s="20"/>
    </row>
    <row r="213" spans="1:45" ht="11.25" customHeight="1">
      <c r="A213" s="254"/>
      <c r="B213" s="249"/>
      <c r="C213" s="249"/>
      <c r="D213" s="249"/>
      <c r="E213" s="255" t="s">
        <v>9</v>
      </c>
      <c r="F213" s="249"/>
      <c r="G213" s="249"/>
      <c r="H213" s="249"/>
      <c r="I213" s="256"/>
      <c r="J213" s="249"/>
      <c r="K213" s="249"/>
      <c r="L213" s="249"/>
      <c r="M213" s="250"/>
      <c r="N213" s="257"/>
      <c r="O213" s="7"/>
      <c r="P213" s="258"/>
      <c r="Q213" s="259"/>
      <c r="R213" s="245"/>
      <c r="S213" s="245"/>
      <c r="T213" s="260" t="s">
        <v>9</v>
      </c>
      <c r="U213" s="245"/>
      <c r="V213" s="245"/>
      <c r="W213" s="245"/>
      <c r="X213" s="261"/>
      <c r="Y213" s="245"/>
      <c r="Z213" s="246"/>
      <c r="AA213" s="241"/>
      <c r="AB213" s="241"/>
      <c r="AC213" s="5"/>
      <c r="AF213" s="223"/>
      <c r="AG213" s="19"/>
      <c r="AH213" s="19"/>
      <c r="AI213" s="19"/>
      <c r="AJ213" s="27" t="s">
        <v>9</v>
      </c>
      <c r="AK213" s="19"/>
      <c r="AL213" s="19"/>
      <c r="AM213" s="19"/>
      <c r="AN213" s="28"/>
      <c r="AO213" s="19"/>
      <c r="AP213" s="19"/>
      <c r="AQ213" s="19"/>
      <c r="AR213" s="20"/>
    </row>
    <row r="214" spans="1:45" ht="11.25" customHeight="1">
      <c r="A214" s="262" t="s">
        <v>10</v>
      </c>
      <c r="B214" s="263">
        <f>first_age</f>
        <v>4</v>
      </c>
      <c r="C214" s="263">
        <f t="shared" ref="C214:M214" si="83">B214+1</f>
        <v>5</v>
      </c>
      <c r="D214" s="263">
        <f t="shared" si="83"/>
        <v>6</v>
      </c>
      <c r="E214" s="263">
        <f t="shared" si="83"/>
        <v>7</v>
      </c>
      <c r="F214" s="263">
        <f t="shared" si="83"/>
        <v>8</v>
      </c>
      <c r="G214" s="263">
        <f t="shared" si="83"/>
        <v>9</v>
      </c>
      <c r="H214" s="263">
        <f t="shared" si="83"/>
        <v>10</v>
      </c>
      <c r="I214" s="263">
        <f t="shared" si="83"/>
        <v>11</v>
      </c>
      <c r="J214" s="263">
        <f t="shared" si="83"/>
        <v>12</v>
      </c>
      <c r="K214" s="263">
        <f t="shared" si="83"/>
        <v>13</v>
      </c>
      <c r="L214" s="263">
        <f t="shared" si="83"/>
        <v>14</v>
      </c>
      <c r="M214" s="264">
        <f t="shared" si="83"/>
        <v>15</v>
      </c>
      <c r="N214" s="257"/>
      <c r="O214" s="7"/>
      <c r="P214" s="474" t="s">
        <v>10</v>
      </c>
      <c r="Q214" s="475">
        <v>4</v>
      </c>
      <c r="R214" s="265">
        <v>5</v>
      </c>
      <c r="S214" s="265">
        <v>6</v>
      </c>
      <c r="T214" s="265">
        <v>7</v>
      </c>
      <c r="U214" s="265">
        <v>8</v>
      </c>
      <c r="V214" s="265">
        <v>9</v>
      </c>
      <c r="W214" s="265">
        <v>10</v>
      </c>
      <c r="X214" s="265">
        <v>11</v>
      </c>
      <c r="Y214" s="265">
        <v>12</v>
      </c>
      <c r="Z214" s="265">
        <v>13</v>
      </c>
      <c r="AA214" s="266" t="s">
        <v>71</v>
      </c>
      <c r="AB214" s="266" t="s">
        <v>72</v>
      </c>
      <c r="AC214" s="267"/>
      <c r="AD214" s="267"/>
      <c r="AE214" s="267"/>
      <c r="AF214" s="423" t="s">
        <v>10</v>
      </c>
      <c r="AG214" s="182">
        <v>4</v>
      </c>
      <c r="AH214" s="182">
        <v>5</v>
      </c>
      <c r="AI214" s="182">
        <v>6</v>
      </c>
      <c r="AJ214" s="182">
        <v>7</v>
      </c>
      <c r="AK214" s="182">
        <v>8</v>
      </c>
      <c r="AL214" s="182">
        <v>9</v>
      </c>
      <c r="AM214" s="182">
        <v>10</v>
      </c>
      <c r="AN214" s="182">
        <v>11</v>
      </c>
      <c r="AO214" s="182">
        <v>12</v>
      </c>
      <c r="AP214" s="182">
        <v>13</v>
      </c>
      <c r="AQ214" s="182">
        <v>14</v>
      </c>
      <c r="AR214" s="268">
        <v>15</v>
      </c>
    </row>
    <row r="215" spans="1:45" ht="11.25" customHeight="1">
      <c r="A215" s="269">
        <f>first_year</f>
        <v>1978</v>
      </c>
      <c r="B215" s="270">
        <f t="shared" ref="B215:G215" si="84">(AG215)*Q215</f>
        <v>272.08617766800631</v>
      </c>
      <c r="C215" s="271">
        <f t="shared" si="84"/>
        <v>216.43618319524001</v>
      </c>
      <c r="D215" s="271">
        <f t="shared" si="84"/>
        <v>66.285671892076607</v>
      </c>
      <c r="E215" s="271">
        <f t="shared" si="84"/>
        <v>1.0657872620255946</v>
      </c>
      <c r="F215" s="271">
        <f t="shared" si="84"/>
        <v>6.5060068482626114</v>
      </c>
      <c r="G215" s="272">
        <f t="shared" si="84"/>
        <v>9.6003818406226085</v>
      </c>
      <c r="H215" s="251"/>
      <c r="I215" s="251"/>
      <c r="J215" s="251"/>
      <c r="K215" s="251"/>
      <c r="L215" s="273"/>
      <c r="M215" s="251"/>
      <c r="N215" s="257"/>
      <c r="O215" s="7"/>
      <c r="P215" s="435">
        <v>1978</v>
      </c>
      <c r="Q215" s="502">
        <v>1.0848998072798928</v>
      </c>
      <c r="R215" s="502">
        <v>1.1472453440960273</v>
      </c>
      <c r="S215" s="502">
        <v>1.2483342671615199</v>
      </c>
      <c r="T215" s="502">
        <v>1.0536630507941653</v>
      </c>
      <c r="U215" s="502">
        <v>1.2441148531104138</v>
      </c>
      <c r="V215" s="502">
        <v>1.3242496769246976</v>
      </c>
      <c r="W215" s="241"/>
      <c r="X215" s="241"/>
      <c r="Y215" s="241"/>
      <c r="Z215" s="241"/>
      <c r="AA215" s="241"/>
      <c r="AB215" s="241"/>
      <c r="AC215" s="5"/>
      <c r="AF215" s="92">
        <v>1978</v>
      </c>
      <c r="AG215" s="270">
        <v>250.79382984700905</v>
      </c>
      <c r="AH215" s="271">
        <v>188.65727745949673</v>
      </c>
      <c r="AI215" s="271">
        <v>53.099296907708791</v>
      </c>
      <c r="AJ215" s="271">
        <v>1.0115067252498708</v>
      </c>
      <c r="AK215" s="271">
        <v>5.2294262318281399</v>
      </c>
      <c r="AL215" s="272">
        <v>7.2496765586664562</v>
      </c>
      <c r="AQ215" s="276"/>
    </row>
    <row r="216" spans="1:45" ht="11.25" customHeight="1">
      <c r="A216" s="277">
        <f t="shared" ref="A216:A234" si="85">A215+1</f>
        <v>1979</v>
      </c>
      <c r="B216" s="278">
        <f t="shared" ref="B216:B252" si="86">(AG216)*Q216</f>
        <v>20.696955526564786</v>
      </c>
      <c r="C216" s="251"/>
      <c r="D216" s="251"/>
      <c r="E216" s="251"/>
      <c r="F216" s="251"/>
      <c r="G216" s="251"/>
      <c r="H216" s="251"/>
      <c r="I216" s="251"/>
      <c r="J216" s="251"/>
      <c r="K216" s="251"/>
      <c r="L216" s="251"/>
      <c r="M216" s="251"/>
      <c r="N216" s="257"/>
      <c r="O216" s="7"/>
      <c r="P216" s="435">
        <v>1979</v>
      </c>
      <c r="Q216" s="502">
        <v>1.0950512463970918</v>
      </c>
      <c r="R216" s="279"/>
      <c r="S216" s="274"/>
      <c r="T216" s="274"/>
      <c r="U216" s="274"/>
      <c r="V216" s="274"/>
      <c r="W216" s="241"/>
      <c r="X216" s="241"/>
      <c r="Y216" s="241"/>
      <c r="Z216" s="241"/>
      <c r="AA216" s="241"/>
      <c r="AB216" s="241"/>
      <c r="AC216" s="5"/>
      <c r="AF216" s="202">
        <v>1979</v>
      </c>
      <c r="AG216" s="278">
        <v>18.900444700338319</v>
      </c>
      <c r="AH216" s="5"/>
    </row>
    <row r="217" spans="1:45" ht="11.25" customHeight="1">
      <c r="A217" s="277">
        <f t="shared" si="85"/>
        <v>1980</v>
      </c>
      <c r="B217" s="278">
        <f t="shared" si="86"/>
        <v>51.02349731186488</v>
      </c>
      <c r="C217" s="251"/>
      <c r="D217" s="251"/>
      <c r="E217" s="251"/>
      <c r="F217" s="251"/>
      <c r="G217" s="280"/>
      <c r="H217" s="280"/>
      <c r="I217" s="280"/>
      <c r="J217" s="251"/>
      <c r="K217" s="251"/>
      <c r="L217" s="251"/>
      <c r="M217" s="251"/>
      <c r="N217" s="257"/>
      <c r="O217" s="7"/>
      <c r="P217" s="435">
        <v>1980</v>
      </c>
      <c r="Q217" s="502">
        <v>0.87333951446467262</v>
      </c>
      <c r="R217" s="279"/>
      <c r="S217" s="274"/>
      <c r="T217" s="274"/>
      <c r="U217" s="274"/>
      <c r="V217" s="274"/>
      <c r="W217" s="281"/>
      <c r="X217" s="281"/>
      <c r="Y217" s="281"/>
      <c r="Z217" s="281"/>
      <c r="AA217" s="281"/>
      <c r="AB217" s="281"/>
      <c r="AC217" s="5"/>
      <c r="AF217" s="202">
        <v>1980</v>
      </c>
      <c r="AG217" s="278">
        <v>58.423438384258318</v>
      </c>
      <c r="AH217" s="5"/>
      <c r="AL217" s="5"/>
      <c r="AM217" s="5"/>
      <c r="AN217" s="5"/>
      <c r="AO217" s="5"/>
      <c r="AP217" s="5"/>
      <c r="AQ217" s="5"/>
    </row>
    <row r="218" spans="1:45" ht="11.25" customHeight="1">
      <c r="A218" s="277">
        <f t="shared" si="85"/>
        <v>1981</v>
      </c>
      <c r="B218" s="278">
        <f t="shared" si="86"/>
        <v>861.80696201581225</v>
      </c>
      <c r="C218" s="251"/>
      <c r="D218" s="251"/>
      <c r="E218" s="251"/>
      <c r="F218" s="251"/>
      <c r="G218" s="282" t="s">
        <v>73</v>
      </c>
      <c r="H218" s="249"/>
      <c r="I218" s="249"/>
      <c r="J218" s="250"/>
      <c r="K218" s="283"/>
      <c r="L218" s="283"/>
      <c r="M218" s="251"/>
      <c r="N218" s="257"/>
      <c r="O218" s="7"/>
      <c r="P218" s="435">
        <v>1981</v>
      </c>
      <c r="Q218" s="502">
        <v>0.92427817787935895</v>
      </c>
      <c r="R218" s="279"/>
      <c r="S218" s="274"/>
      <c r="T218" s="274"/>
      <c r="U218" s="274"/>
      <c r="V218" s="284"/>
      <c r="W218" s="281"/>
      <c r="X218" s="281"/>
      <c r="Y218" s="281"/>
      <c r="Z218" s="281"/>
      <c r="AA218" s="281"/>
      <c r="AB218" s="281"/>
      <c r="AC218" s="5"/>
      <c r="AF218" s="202">
        <v>1981</v>
      </c>
      <c r="AG218" s="278">
        <v>932.41080731032821</v>
      </c>
      <c r="AH218" s="5"/>
      <c r="AL218" s="285" t="s">
        <v>73</v>
      </c>
      <c r="AM218" s="19"/>
      <c r="AN218" s="19"/>
      <c r="AO218" s="19"/>
      <c r="AP218" s="229"/>
      <c r="AQ218" s="5"/>
    </row>
    <row r="219" spans="1:45" ht="11.25" customHeight="1">
      <c r="A219" s="277">
        <f t="shared" si="85"/>
        <v>1982</v>
      </c>
      <c r="B219" s="278">
        <f t="shared" si="86"/>
        <v>735.47622563505183</v>
      </c>
      <c r="C219" s="251"/>
      <c r="D219" s="251"/>
      <c r="E219" s="251"/>
      <c r="F219" s="251"/>
      <c r="G219" s="286"/>
      <c r="H219" s="287" t="s">
        <v>74</v>
      </c>
      <c r="I219" s="254" t="s">
        <v>75</v>
      </c>
      <c r="J219" s="250"/>
      <c r="K219" s="288"/>
      <c r="L219" s="288"/>
      <c r="M219" s="251"/>
      <c r="N219" s="257"/>
      <c r="O219" s="7"/>
      <c r="P219" s="435">
        <v>1982</v>
      </c>
      <c r="Q219" s="502">
        <v>0.89660187399672009</v>
      </c>
      <c r="R219" s="279"/>
      <c r="S219" s="274"/>
      <c r="T219" s="274"/>
      <c r="U219" s="274"/>
      <c r="V219" s="289"/>
      <c r="W219" s="290"/>
      <c r="X219" s="281"/>
      <c r="Y219" s="281"/>
      <c r="Z219" s="281"/>
      <c r="AA219" s="281"/>
      <c r="AB219" s="281"/>
      <c r="AC219" s="5"/>
      <c r="AF219" s="92">
        <v>1982</v>
      </c>
      <c r="AG219" s="278">
        <v>820.29298283369678</v>
      </c>
      <c r="AH219" s="5"/>
      <c r="AL219" s="91"/>
      <c r="AM219" s="28" t="s">
        <v>74</v>
      </c>
      <c r="AN219" s="26" t="s">
        <v>75</v>
      </c>
      <c r="AO219" s="19"/>
      <c r="AP219" s="229"/>
      <c r="AQ219" s="5"/>
    </row>
    <row r="220" spans="1:45" ht="11.25" customHeight="1">
      <c r="A220" s="277">
        <f t="shared" si="85"/>
        <v>1983</v>
      </c>
      <c r="B220" s="278">
        <f t="shared" si="86"/>
        <v>281.97039517594453</v>
      </c>
      <c r="C220" s="251"/>
      <c r="D220" s="251"/>
      <c r="E220" s="251"/>
      <c r="F220" s="251"/>
      <c r="G220" s="291" t="s">
        <v>76</v>
      </c>
      <c r="H220" s="292">
        <v>0.85</v>
      </c>
      <c r="I220" s="287" t="s">
        <v>77</v>
      </c>
      <c r="J220" s="250">
        <f>-LN(H220)</f>
        <v>0.16251892949777494</v>
      </c>
      <c r="K220" s="288"/>
      <c r="L220" s="288"/>
      <c r="M220" s="251"/>
      <c r="N220" s="257"/>
      <c r="O220" s="7"/>
      <c r="P220" s="435">
        <v>1983</v>
      </c>
      <c r="Q220" s="502">
        <v>0.86531936219473693</v>
      </c>
      <c r="R220" s="279"/>
      <c r="S220" s="274"/>
      <c r="T220" s="274"/>
      <c r="U220" s="274"/>
      <c r="V220" s="290"/>
      <c r="W220" s="274"/>
      <c r="X220" s="281"/>
      <c r="Y220" s="281"/>
      <c r="Z220" s="290"/>
      <c r="AA220" s="281"/>
      <c r="AB220" s="281"/>
      <c r="AC220" s="5"/>
      <c r="AF220" s="92">
        <v>1983</v>
      </c>
      <c r="AG220" s="278">
        <v>325.8570274687649</v>
      </c>
      <c r="AH220" s="5"/>
      <c r="AL220" s="293" t="s">
        <v>76</v>
      </c>
      <c r="AM220" s="292">
        <v>0.81992364333195644</v>
      </c>
      <c r="AN220" s="26" t="s">
        <v>77</v>
      </c>
      <c r="AO220" s="250">
        <v>0.19854406094743593</v>
      </c>
      <c r="AP220" s="294"/>
      <c r="AQ220" s="5"/>
    </row>
    <row r="221" spans="1:45" ht="11.25" customHeight="1">
      <c r="A221" s="277">
        <f t="shared" si="85"/>
        <v>1984</v>
      </c>
      <c r="B221" s="278">
        <f t="shared" si="86"/>
        <v>67.99276328907635</v>
      </c>
      <c r="C221" s="251"/>
      <c r="D221" s="251"/>
      <c r="E221" s="251"/>
      <c r="F221" s="251"/>
      <c r="G221" s="291" t="s">
        <v>78</v>
      </c>
      <c r="H221" s="295">
        <v>4.9955312721815075E-2</v>
      </c>
      <c r="I221" s="287" t="s">
        <v>77</v>
      </c>
      <c r="J221" s="250">
        <f>-LN(M268)</f>
        <v>0.69252175428514862</v>
      </c>
      <c r="K221" s="288" t="s">
        <v>79</v>
      </c>
      <c r="L221" s="288"/>
      <c r="M221" s="251"/>
      <c r="N221" s="257"/>
      <c r="O221" s="7"/>
      <c r="P221" s="435">
        <v>1984</v>
      </c>
      <c r="Q221" s="502">
        <v>0.73616750752078386</v>
      </c>
      <c r="R221" s="279"/>
      <c r="S221" s="274"/>
      <c r="T221" s="274"/>
      <c r="U221" s="274"/>
      <c r="V221" s="274"/>
      <c r="W221" s="281"/>
      <c r="X221" s="241"/>
      <c r="Y221" s="241"/>
      <c r="Z221" s="241"/>
      <c r="AA221" s="241"/>
      <c r="AB221" s="241"/>
      <c r="AC221" s="5"/>
      <c r="AF221" s="92">
        <v>1984</v>
      </c>
      <c r="AG221" s="278">
        <v>92.360451384302294</v>
      </c>
      <c r="AH221" s="5"/>
      <c r="AL221" s="296" t="s">
        <v>78</v>
      </c>
      <c r="AM221" s="295">
        <v>3.1693145561522501E-2</v>
      </c>
      <c r="AN221" s="29" t="s">
        <v>77</v>
      </c>
      <c r="AO221" s="250">
        <v>0.51404475895742863</v>
      </c>
      <c r="AP221" s="229" t="s">
        <v>79</v>
      </c>
      <c r="AQ221" s="5"/>
    </row>
    <row r="222" spans="1:45" ht="11.25" customHeight="1">
      <c r="A222" s="277">
        <f t="shared" si="85"/>
        <v>1985</v>
      </c>
      <c r="B222" s="278">
        <f t="shared" si="86"/>
        <v>171.53775696658536</v>
      </c>
      <c r="C222" s="251"/>
      <c r="D222" s="251"/>
      <c r="E222" s="251"/>
      <c r="F222" s="251"/>
      <c r="G222" s="251"/>
      <c r="H222" s="251"/>
      <c r="I222" s="251"/>
      <c r="J222" s="251"/>
      <c r="K222" s="251"/>
      <c r="L222" s="251"/>
      <c r="M222" s="251"/>
      <c r="N222" s="257"/>
      <c r="O222" s="7"/>
      <c r="P222" s="435">
        <v>1985</v>
      </c>
      <c r="Q222" s="502">
        <v>0.82506412124770545</v>
      </c>
      <c r="R222" s="279"/>
      <c r="S222" s="274"/>
      <c r="T222" s="274"/>
      <c r="U222" s="274"/>
      <c r="V222" s="274"/>
      <c r="W222" s="241"/>
      <c r="X222" s="241"/>
      <c r="Y222" s="241"/>
      <c r="Z222" s="241"/>
      <c r="AA222" s="241"/>
      <c r="AB222" s="241"/>
      <c r="AC222" s="5"/>
      <c r="AF222" s="92">
        <v>1985</v>
      </c>
      <c r="AG222" s="278">
        <v>207.90839469201123</v>
      </c>
      <c r="AH222" s="5"/>
      <c r="AR222" s="5"/>
      <c r="AS222" s="5"/>
    </row>
    <row r="223" spans="1:45" ht="11.25" customHeight="1">
      <c r="A223" s="277">
        <f t="shared" si="85"/>
        <v>1986</v>
      </c>
      <c r="B223" s="278">
        <f t="shared" si="86"/>
        <v>44.154994099098097</v>
      </c>
      <c r="C223" s="251"/>
      <c r="D223" s="251"/>
      <c r="E223" s="251"/>
      <c r="F223" s="251"/>
      <c r="G223" s="251"/>
      <c r="H223" s="251"/>
      <c r="I223" s="251"/>
      <c r="J223" s="251"/>
      <c r="K223" s="251"/>
      <c r="L223" s="251"/>
      <c r="M223" s="251"/>
      <c r="N223" s="257"/>
      <c r="O223" s="7"/>
      <c r="P223" s="435">
        <v>1986</v>
      </c>
      <c r="Q223" s="502">
        <v>1.0546652265037224</v>
      </c>
      <c r="R223" s="279"/>
      <c r="S223" s="274"/>
      <c r="T223" s="274"/>
      <c r="U223" s="274"/>
      <c r="V223" s="274"/>
      <c r="W223" s="241"/>
      <c r="X223" s="241"/>
      <c r="Y223" s="241"/>
      <c r="Z223" s="241"/>
      <c r="AA223" s="241"/>
      <c r="AB223" s="241"/>
      <c r="AC223" s="5"/>
      <c r="AF223" s="202">
        <v>1986</v>
      </c>
      <c r="AG223" s="278">
        <v>41.866360044385374</v>
      </c>
      <c r="AH223" s="5"/>
      <c r="AR223" s="5"/>
      <c r="AS223" s="5"/>
    </row>
    <row r="224" spans="1:45" ht="11.25" customHeight="1">
      <c r="A224" s="277">
        <f t="shared" si="85"/>
        <v>1987</v>
      </c>
      <c r="B224" s="278">
        <f t="shared" si="86"/>
        <v>153.85086012871921</v>
      </c>
      <c r="C224" s="251"/>
      <c r="D224" s="251"/>
      <c r="E224" s="251"/>
      <c r="F224" s="251"/>
      <c r="G224" s="251"/>
      <c r="H224" s="251"/>
      <c r="I224" s="251"/>
      <c r="J224" s="283"/>
      <c r="K224" s="283"/>
      <c r="L224" s="283"/>
      <c r="M224" s="251"/>
      <c r="N224" s="257" t="s">
        <v>80</v>
      </c>
      <c r="O224" s="7"/>
      <c r="P224" s="435">
        <v>1987</v>
      </c>
      <c r="Q224" s="502">
        <v>0.88622973572594532</v>
      </c>
      <c r="R224" s="279"/>
      <c r="S224" s="274"/>
      <c r="T224" s="274"/>
      <c r="U224" s="274"/>
      <c r="V224" s="274"/>
      <c r="W224" s="281"/>
      <c r="X224" s="281"/>
      <c r="Y224" s="281"/>
      <c r="Z224" s="281"/>
      <c r="AA224" s="281"/>
      <c r="AB224" s="281"/>
      <c r="AC224" s="5"/>
      <c r="AF224" s="202">
        <v>1987</v>
      </c>
      <c r="AG224" s="278">
        <v>173.60155490911617</v>
      </c>
      <c r="AH224" s="5"/>
      <c r="AL224" s="5"/>
      <c r="AM224" s="5"/>
      <c r="AN224" s="5"/>
      <c r="AO224" s="5"/>
      <c r="AP224" s="5"/>
      <c r="AQ224" s="5"/>
      <c r="AR224" s="5"/>
      <c r="AS224" s="5" t="s">
        <v>80</v>
      </c>
    </row>
    <row r="225" spans="1:45" ht="11.25" customHeight="1">
      <c r="A225" s="277">
        <f t="shared" si="85"/>
        <v>1988</v>
      </c>
      <c r="B225" s="278">
        <f t="shared" si="86"/>
        <v>142.5109990895472</v>
      </c>
      <c r="C225" s="251"/>
      <c r="D225" s="251"/>
      <c r="E225" s="251"/>
      <c r="F225" s="251"/>
      <c r="G225" s="251"/>
      <c r="H225" s="251"/>
      <c r="I225" s="251"/>
      <c r="J225" s="283"/>
      <c r="K225" s="283"/>
      <c r="L225" s="283"/>
      <c r="M225" s="251"/>
      <c r="N225" s="257" t="s">
        <v>81</v>
      </c>
      <c r="O225" s="7"/>
      <c r="P225" s="435">
        <v>1988</v>
      </c>
      <c r="Q225" s="502">
        <v>0.94910685139718287</v>
      </c>
      <c r="R225" s="279"/>
      <c r="S225" s="274"/>
      <c r="T225" s="274"/>
      <c r="U225" s="274"/>
      <c r="V225" s="297"/>
      <c r="W225" s="298"/>
      <c r="X225" s="298"/>
      <c r="Y225" s="281"/>
      <c r="Z225" s="281"/>
      <c r="AA225" s="281"/>
      <c r="AB225" s="281"/>
      <c r="AC225" s="5"/>
      <c r="AF225" s="202">
        <v>1988</v>
      </c>
      <c r="AG225" s="278">
        <v>150.15274505684619</v>
      </c>
      <c r="AH225" s="5"/>
      <c r="AL225" s="219"/>
      <c r="AM225" s="219"/>
      <c r="AN225" s="219"/>
      <c r="AO225" s="5"/>
      <c r="AP225" s="5"/>
      <c r="AQ225" s="5"/>
      <c r="AR225" s="5"/>
      <c r="AS225" s="5" t="s">
        <v>81</v>
      </c>
    </row>
    <row r="226" spans="1:45" ht="11.25" customHeight="1">
      <c r="A226" s="277">
        <f t="shared" si="85"/>
        <v>1989</v>
      </c>
      <c r="B226" s="278">
        <f t="shared" si="86"/>
        <v>45.005765795320571</v>
      </c>
      <c r="C226" s="251"/>
      <c r="D226" s="251"/>
      <c r="E226" s="251"/>
      <c r="F226" s="251"/>
      <c r="G226" s="251"/>
      <c r="H226" s="251"/>
      <c r="I226" s="251"/>
      <c r="J226" s="283"/>
      <c r="K226" s="283"/>
      <c r="L226" s="283"/>
      <c r="M226" s="251"/>
      <c r="N226" s="257" t="s">
        <v>82</v>
      </c>
      <c r="O226" s="7"/>
      <c r="P226" s="435">
        <v>1989</v>
      </c>
      <c r="Q226" s="502">
        <v>0.99676842858146408</v>
      </c>
      <c r="R226" s="279"/>
      <c r="S226" s="274"/>
      <c r="T226" s="274"/>
      <c r="U226" s="274"/>
      <c r="V226" s="299"/>
      <c r="W226" s="274"/>
      <c r="X226" s="281"/>
      <c r="Y226" s="281"/>
      <c r="Z226" s="281"/>
      <c r="AA226" s="281"/>
      <c r="AB226" s="281"/>
      <c r="AC226" s="5"/>
      <c r="AF226" s="202">
        <v>1989</v>
      </c>
      <c r="AG226" s="278">
        <v>45.1516766631241</v>
      </c>
      <c r="AH226" s="5"/>
      <c r="AL226" s="300"/>
      <c r="AM226" s="5"/>
      <c r="AN226" s="5"/>
      <c r="AO226" s="5"/>
      <c r="AP226" s="5"/>
      <c r="AQ226" s="5"/>
      <c r="AR226" s="5"/>
      <c r="AS226" s="5" t="s">
        <v>82</v>
      </c>
    </row>
    <row r="227" spans="1:45" ht="11.25" customHeight="1">
      <c r="A227" s="277">
        <f t="shared" si="85"/>
        <v>1990</v>
      </c>
      <c r="B227" s="278">
        <f t="shared" si="86"/>
        <v>121.9738665962645</v>
      </c>
      <c r="C227" s="251"/>
      <c r="D227" s="251"/>
      <c r="E227" s="251"/>
      <c r="F227" s="251"/>
      <c r="G227" s="251"/>
      <c r="H227" s="251"/>
      <c r="I227" s="251"/>
      <c r="J227" s="283"/>
      <c r="K227" s="283"/>
      <c r="L227" s="283"/>
      <c r="M227" s="251"/>
      <c r="N227" s="257" t="s">
        <v>83</v>
      </c>
      <c r="O227" s="7"/>
      <c r="P227" s="435">
        <v>1990</v>
      </c>
      <c r="Q227" s="502">
        <v>1.4517493785213165</v>
      </c>
      <c r="R227" s="279"/>
      <c r="S227" s="274"/>
      <c r="T227" s="274"/>
      <c r="U227" s="274"/>
      <c r="V227" s="274"/>
      <c r="W227" s="281"/>
      <c r="X227" s="281"/>
      <c r="Y227" s="281"/>
      <c r="Z227" s="281"/>
      <c r="AA227" s="281"/>
      <c r="AB227" s="281"/>
      <c r="AC227" s="5"/>
      <c r="AF227" s="202">
        <v>1990</v>
      </c>
      <c r="AG227" s="278">
        <v>84.018542319268178</v>
      </c>
      <c r="AH227" s="5"/>
      <c r="AL227" s="5"/>
      <c r="AM227" s="5"/>
      <c r="AN227" s="5"/>
      <c r="AO227" s="5"/>
      <c r="AP227" s="5"/>
      <c r="AQ227" s="5"/>
      <c r="AR227" s="5"/>
      <c r="AS227" s="5" t="s">
        <v>83</v>
      </c>
    </row>
    <row r="228" spans="1:45" ht="11.25" customHeight="1">
      <c r="A228" s="277">
        <f t="shared" si="85"/>
        <v>1991</v>
      </c>
      <c r="B228" s="278">
        <f t="shared" si="86"/>
        <v>407.75382449424723</v>
      </c>
      <c r="C228" s="251"/>
      <c r="D228" s="251"/>
      <c r="E228" s="251"/>
      <c r="F228" s="251"/>
      <c r="G228" s="251"/>
      <c r="H228" s="251"/>
      <c r="I228" s="251"/>
      <c r="J228" s="251"/>
      <c r="K228" s="251"/>
      <c r="L228" s="251"/>
      <c r="M228" s="251"/>
      <c r="N228" s="257" t="s">
        <v>84</v>
      </c>
      <c r="O228" s="7"/>
      <c r="P228" s="435">
        <v>1991</v>
      </c>
      <c r="Q228" s="502">
        <v>0.95687399823555841</v>
      </c>
      <c r="R228" s="279"/>
      <c r="S228" s="274"/>
      <c r="T228" s="274"/>
      <c r="U228" s="274"/>
      <c r="V228" s="274"/>
      <c r="W228" s="241"/>
      <c r="X228" s="241"/>
      <c r="Y228" s="241"/>
      <c r="Z228" s="241"/>
      <c r="AA228" s="241"/>
      <c r="AB228" s="241"/>
      <c r="AC228" s="5"/>
      <c r="AF228" s="202">
        <v>1991</v>
      </c>
      <c r="AG228" s="278">
        <v>426.13115754648027</v>
      </c>
      <c r="AH228" s="5"/>
      <c r="AR228" s="5"/>
      <c r="AS228" s="5" t="s">
        <v>84</v>
      </c>
    </row>
    <row r="229" spans="1:45" ht="11.25" customHeight="1">
      <c r="A229" s="277">
        <f t="shared" si="85"/>
        <v>1992</v>
      </c>
      <c r="B229" s="278">
        <f t="shared" si="86"/>
        <v>286.25481276949603</v>
      </c>
      <c r="C229" s="251"/>
      <c r="D229" s="251"/>
      <c r="E229" s="251"/>
      <c r="F229" s="251"/>
      <c r="G229" s="251"/>
      <c r="H229" s="251"/>
      <c r="I229" s="251"/>
      <c r="J229" s="251"/>
      <c r="K229" s="251"/>
      <c r="L229" s="251"/>
      <c r="M229" s="251"/>
      <c r="N229" s="257"/>
      <c r="O229" s="7"/>
      <c r="P229" s="435">
        <v>1992</v>
      </c>
      <c r="Q229" s="502">
        <v>0.95992356223804787</v>
      </c>
      <c r="R229" s="279"/>
      <c r="S229" s="274"/>
      <c r="T229" s="274"/>
      <c r="U229" s="274"/>
      <c r="V229" s="274"/>
      <c r="W229" s="241"/>
      <c r="X229" s="241"/>
      <c r="Y229" s="241"/>
      <c r="Z229" s="241"/>
      <c r="AA229" s="241"/>
      <c r="AB229" s="241"/>
      <c r="AC229" s="5"/>
      <c r="AF229" s="202">
        <v>1992</v>
      </c>
      <c r="AG229" s="278">
        <v>298.2058405797406</v>
      </c>
      <c r="AH229" s="5"/>
      <c r="AR229" s="5"/>
      <c r="AS229" s="5"/>
    </row>
    <row r="230" spans="1:45" ht="11.25" customHeight="1">
      <c r="A230" s="277">
        <f t="shared" si="85"/>
        <v>1993</v>
      </c>
      <c r="B230" s="278">
        <f t="shared" si="86"/>
        <v>141.96077409041726</v>
      </c>
      <c r="C230" s="251"/>
      <c r="D230" s="251"/>
      <c r="E230" s="251"/>
      <c r="F230" s="251"/>
      <c r="G230" s="251"/>
      <c r="H230" s="251"/>
      <c r="I230" s="251"/>
      <c r="J230" s="251"/>
      <c r="K230" s="251"/>
      <c r="L230" s="251"/>
      <c r="M230" s="251"/>
      <c r="N230" s="257"/>
      <c r="O230" s="7"/>
      <c r="P230" s="435">
        <v>1993</v>
      </c>
      <c r="Q230" s="502">
        <v>1.0051332622262827</v>
      </c>
      <c r="R230" s="279"/>
      <c r="S230" s="281"/>
      <c r="T230" s="281"/>
      <c r="U230" s="281"/>
      <c r="V230" s="281"/>
      <c r="W230" s="241"/>
      <c r="X230" s="241"/>
      <c r="Y230" s="241"/>
      <c r="Z230" s="241"/>
      <c r="AA230" s="241"/>
      <c r="AB230" s="241"/>
      <c r="AC230" s="5"/>
      <c r="AF230" s="202">
        <v>1993</v>
      </c>
      <c r="AG230" s="278">
        <v>141.23577382762809</v>
      </c>
      <c r="AH230" s="5"/>
      <c r="AR230" s="5"/>
      <c r="AS230" s="5"/>
    </row>
    <row r="231" spans="1:45" ht="11.25" customHeight="1">
      <c r="A231" s="277">
        <f t="shared" si="85"/>
        <v>1994</v>
      </c>
      <c r="B231" s="278">
        <f t="shared" si="86"/>
        <v>149.94195294274468</v>
      </c>
      <c r="C231" s="251"/>
      <c r="D231" s="251"/>
      <c r="E231" s="251"/>
      <c r="F231" s="251"/>
      <c r="G231" s="251"/>
      <c r="H231" s="251"/>
      <c r="I231" s="251"/>
      <c r="J231" s="251"/>
      <c r="K231" s="251"/>
      <c r="L231" s="251"/>
      <c r="M231" s="251"/>
      <c r="N231" s="257"/>
      <c r="O231" s="7"/>
      <c r="P231" s="435">
        <v>1994</v>
      </c>
      <c r="Q231" s="502">
        <v>0.97493619463177628</v>
      </c>
      <c r="R231" s="279"/>
      <c r="S231" s="281"/>
      <c r="T231" s="281"/>
      <c r="U231" s="281"/>
      <c r="V231" s="281"/>
      <c r="W231" s="241"/>
      <c r="X231" s="241"/>
      <c r="Y231" s="241"/>
      <c r="Z231" s="241"/>
      <c r="AA231" s="241"/>
      <c r="AB231" s="241"/>
      <c r="AC231" s="5"/>
      <c r="AF231" s="202">
        <v>1994</v>
      </c>
      <c r="AG231" s="278">
        <v>153.79668307357926</v>
      </c>
      <c r="AH231" s="5"/>
      <c r="AR231" s="5"/>
      <c r="AS231" s="5"/>
    </row>
    <row r="232" spans="1:45" ht="11.25" customHeight="1">
      <c r="A232" s="277">
        <f t="shared" si="85"/>
        <v>1995</v>
      </c>
      <c r="B232" s="278">
        <f t="shared" si="86"/>
        <v>158.80026010348101</v>
      </c>
      <c r="C232" s="283"/>
      <c r="D232" s="283"/>
      <c r="E232" s="283"/>
      <c r="F232" s="283"/>
      <c r="G232" s="283"/>
      <c r="H232" s="283"/>
      <c r="I232" s="283"/>
      <c r="J232" s="283"/>
      <c r="K232" s="283"/>
      <c r="L232" s="283"/>
      <c r="M232" s="283"/>
      <c r="N232" s="257"/>
      <c r="O232" s="7"/>
      <c r="P232" s="435">
        <v>1995</v>
      </c>
      <c r="Q232" s="502">
        <v>0.97764462787959894</v>
      </c>
      <c r="R232" s="281"/>
      <c r="S232" s="281"/>
      <c r="T232" s="281"/>
      <c r="U232" s="281"/>
      <c r="V232" s="281"/>
      <c r="W232" s="241"/>
      <c r="X232" s="241"/>
      <c r="Y232" s="241"/>
      <c r="Z232" s="241"/>
      <c r="AA232" s="241"/>
      <c r="AB232" s="241"/>
      <c r="AC232" s="5"/>
      <c r="AF232" s="202">
        <v>1995</v>
      </c>
      <c r="AG232" s="278">
        <v>162.43147619795229</v>
      </c>
      <c r="AH232" s="5"/>
      <c r="AR232" s="5"/>
      <c r="AS232" s="5"/>
    </row>
    <row r="233" spans="1:45" ht="11.25" customHeight="1">
      <c r="A233" s="301">
        <f t="shared" si="85"/>
        <v>1996</v>
      </c>
      <c r="B233" s="278">
        <f t="shared" si="86"/>
        <v>110.67830360729688</v>
      </c>
      <c r="C233" s="283"/>
      <c r="D233" s="283"/>
      <c r="E233" s="283"/>
      <c r="F233" s="283"/>
      <c r="G233" s="283"/>
      <c r="H233" s="283"/>
      <c r="I233" s="283"/>
      <c r="J233" s="283"/>
      <c r="K233" s="283"/>
      <c r="L233" s="283"/>
      <c r="M233" s="283"/>
      <c r="N233" s="257"/>
      <c r="O233" s="7"/>
      <c r="P233" s="435">
        <v>1996</v>
      </c>
      <c r="Q233" s="502">
        <v>0.91617407226922809</v>
      </c>
      <c r="R233" s="281"/>
      <c r="S233" s="281"/>
      <c r="T233" s="281"/>
      <c r="U233" s="281"/>
      <c r="V233" s="281"/>
      <c r="W233" s="241"/>
      <c r="X233" s="241"/>
      <c r="Y233" s="241"/>
      <c r="Z233" s="241"/>
      <c r="AA233" s="241"/>
      <c r="AB233" s="241"/>
      <c r="AC233" s="5"/>
      <c r="AF233" s="202">
        <v>1996</v>
      </c>
      <c r="AG233" s="278">
        <v>120.80488518209542</v>
      </c>
      <c r="AH233" s="5"/>
      <c r="AR233" s="5"/>
      <c r="AS233" s="5"/>
    </row>
    <row r="234" spans="1:45" ht="11.25" customHeight="1">
      <c r="A234" s="301">
        <f t="shared" si="85"/>
        <v>1997</v>
      </c>
      <c r="B234" s="278">
        <f t="shared" si="86"/>
        <v>190.62940264807435</v>
      </c>
      <c r="C234" s="283"/>
      <c r="D234" s="283"/>
      <c r="E234" s="283"/>
      <c r="F234" s="283"/>
      <c r="G234" s="283"/>
      <c r="H234" s="283"/>
      <c r="I234" s="283"/>
      <c r="J234" s="283"/>
      <c r="K234" s="283"/>
      <c r="L234" s="283"/>
      <c r="M234" s="283"/>
      <c r="N234" s="257"/>
      <c r="O234" s="7"/>
      <c r="P234" s="435">
        <v>1997</v>
      </c>
      <c r="Q234" s="502">
        <v>0.89506895150709542</v>
      </c>
      <c r="R234" s="281"/>
      <c r="S234" s="281"/>
      <c r="T234" s="281"/>
      <c r="U234" s="281"/>
      <c r="V234" s="281"/>
      <c r="W234" s="241"/>
      <c r="X234" s="241"/>
      <c r="Y234" s="241"/>
      <c r="Z234" s="241"/>
      <c r="AA234" s="241"/>
      <c r="AB234" s="241"/>
      <c r="AC234" s="5"/>
      <c r="AF234" s="202">
        <v>1997</v>
      </c>
      <c r="AG234" s="278">
        <v>212.97733803311709</v>
      </c>
      <c r="AH234" s="5"/>
      <c r="AR234" s="5"/>
      <c r="AS234" s="5"/>
    </row>
    <row r="235" spans="1:45" ht="11.25" customHeight="1">
      <c r="A235" s="301">
        <v>1998</v>
      </c>
      <c r="B235" s="278">
        <f t="shared" si="86"/>
        <v>35.037265011887328</v>
      </c>
      <c r="C235" s="283"/>
      <c r="D235" s="283"/>
      <c r="E235" s="283"/>
      <c r="F235" s="283"/>
      <c r="G235" s="283"/>
      <c r="H235" s="283"/>
      <c r="I235" s="283"/>
      <c r="J235" s="283"/>
      <c r="K235" s="283"/>
      <c r="L235" s="283"/>
      <c r="M235" s="283"/>
      <c r="N235" s="257"/>
      <c r="O235" s="7"/>
      <c r="P235" s="435">
        <v>1998</v>
      </c>
      <c r="Q235" s="502">
        <v>0.79559409585822027</v>
      </c>
      <c r="R235" s="281"/>
      <c r="S235" s="281"/>
      <c r="T235" s="281"/>
      <c r="U235" s="281"/>
      <c r="V235" s="281"/>
      <c r="W235" s="241"/>
      <c r="X235" s="241"/>
      <c r="Y235" s="241"/>
      <c r="Z235" s="241"/>
      <c r="AA235" s="241"/>
      <c r="AB235" s="241"/>
      <c r="AC235" s="5"/>
      <c r="AF235" s="202">
        <v>1998</v>
      </c>
      <c r="AG235" s="278">
        <v>44.039121449351711</v>
      </c>
      <c r="AH235" s="5"/>
      <c r="AR235" s="5"/>
      <c r="AS235" s="5"/>
    </row>
    <row r="236" spans="1:45" ht="11.25" customHeight="1">
      <c r="A236" s="301">
        <v>1999</v>
      </c>
      <c r="B236" s="278">
        <f t="shared" si="86"/>
        <v>35.491278762404477</v>
      </c>
      <c r="C236" s="283"/>
      <c r="D236" s="283"/>
      <c r="E236" s="283"/>
      <c r="F236" s="283"/>
      <c r="G236" s="283"/>
      <c r="H236" s="283"/>
      <c r="I236" s="283"/>
      <c r="J236" s="283"/>
      <c r="K236" s="283"/>
      <c r="L236" s="283"/>
      <c r="M236" s="283"/>
      <c r="N236" s="257"/>
      <c r="O236" s="7"/>
      <c r="P236" s="435">
        <v>1999</v>
      </c>
      <c r="Q236" s="502">
        <v>0.68794084698042324</v>
      </c>
      <c r="R236" s="281"/>
      <c r="S236" s="281"/>
      <c r="T236" s="281"/>
      <c r="U236" s="281"/>
      <c r="V236" s="281"/>
      <c r="W236" s="241"/>
      <c r="X236" s="241"/>
      <c r="Y236" s="241"/>
      <c r="Z236" s="241"/>
      <c r="AA236" s="241"/>
      <c r="AB236" s="241"/>
      <c r="AC236" s="5"/>
      <c r="AF236" s="202">
        <v>1999</v>
      </c>
      <c r="AG236" s="278">
        <v>51.590596659852729</v>
      </c>
      <c r="AH236" s="5"/>
      <c r="AR236" s="5"/>
      <c r="AS236" s="5"/>
    </row>
    <row r="237" spans="1:45" ht="11.25" customHeight="1">
      <c r="A237" s="302">
        <v>2000</v>
      </c>
      <c r="B237" s="303">
        <f t="shared" si="86"/>
        <v>262.74038655478529</v>
      </c>
      <c r="C237" s="304"/>
      <c r="D237" s="283"/>
      <c r="E237" s="283"/>
      <c r="F237" s="283"/>
      <c r="G237" s="283"/>
      <c r="H237" s="283"/>
      <c r="I237" s="283"/>
      <c r="J237" s="283"/>
      <c r="K237" s="283"/>
      <c r="L237" s="283"/>
      <c r="M237" s="283"/>
      <c r="N237" s="257"/>
      <c r="O237" s="7"/>
      <c r="P237" s="435">
        <v>2000</v>
      </c>
      <c r="Q237" s="502">
        <v>0.94447508595910612</v>
      </c>
      <c r="R237" s="281"/>
      <c r="S237" s="281"/>
      <c r="T237" s="281"/>
      <c r="U237" s="281"/>
      <c r="V237" s="281"/>
      <c r="W237" s="241"/>
      <c r="X237" s="241"/>
      <c r="Y237" s="241"/>
      <c r="Z237" s="241"/>
      <c r="AA237" s="241"/>
      <c r="AB237" s="241"/>
      <c r="AC237" s="5"/>
      <c r="AF237" s="202">
        <v>2000</v>
      </c>
      <c r="AG237" s="303">
        <v>278.18667793441557</v>
      </c>
      <c r="AH237" s="5"/>
      <c r="AR237" s="5"/>
      <c r="AS237" s="5"/>
    </row>
    <row r="238" spans="1:45" ht="11.25" customHeight="1">
      <c r="A238" s="302">
        <v>2001</v>
      </c>
      <c r="B238" s="303">
        <f t="shared" si="86"/>
        <v>393.57195229328767</v>
      </c>
      <c r="C238" s="283"/>
      <c r="D238" s="283"/>
      <c r="E238" s="283"/>
      <c r="F238" s="283"/>
      <c r="G238" s="283"/>
      <c r="H238" s="283"/>
      <c r="I238" s="283"/>
      <c r="J238" s="283"/>
      <c r="K238" s="283"/>
      <c r="L238" s="283"/>
      <c r="M238" s="283"/>
      <c r="N238" s="257"/>
      <c r="O238" s="7"/>
      <c r="P238" s="435">
        <v>2001</v>
      </c>
      <c r="Q238" s="502">
        <v>0.959463961249584</v>
      </c>
      <c r="R238" s="281"/>
      <c r="S238" s="281"/>
      <c r="T238" s="281"/>
      <c r="U238" s="281"/>
      <c r="V238" s="281"/>
      <c r="W238" s="241"/>
      <c r="X238" s="241"/>
      <c r="Y238" s="241"/>
      <c r="Z238" s="241"/>
      <c r="AA238" s="241"/>
      <c r="AB238" s="241"/>
      <c r="AC238" s="5"/>
      <c r="AF238" s="202">
        <v>2001</v>
      </c>
      <c r="AG238" s="303">
        <v>410.19982843410662</v>
      </c>
      <c r="AH238" s="5"/>
      <c r="AR238" s="5"/>
      <c r="AS238" s="5"/>
    </row>
    <row r="239" spans="1:45" ht="11.25" customHeight="1">
      <c r="A239" s="301">
        <v>2002</v>
      </c>
      <c r="B239" s="278">
        <f t="shared" si="86"/>
        <v>192.23754970676936</v>
      </c>
      <c r="C239" s="283"/>
      <c r="D239" s="283"/>
      <c r="E239" s="283"/>
      <c r="F239" s="283"/>
      <c r="G239" s="283"/>
      <c r="H239" s="283"/>
      <c r="I239" s="283"/>
      <c r="J239" s="283"/>
      <c r="K239" s="283"/>
      <c r="L239" s="283"/>
      <c r="M239" s="283"/>
      <c r="N239" s="257"/>
      <c r="O239" s="7"/>
      <c r="P239" s="435">
        <v>2002</v>
      </c>
      <c r="Q239" s="502">
        <v>1.0376129132809704</v>
      </c>
      <c r="R239" s="281"/>
      <c r="S239" s="281"/>
      <c r="T239" s="281"/>
      <c r="U239" s="281"/>
      <c r="V239" s="281"/>
      <c r="W239" s="241"/>
      <c r="X239" s="241"/>
      <c r="Y239" s="241"/>
      <c r="Z239" s="241"/>
      <c r="AA239" s="241"/>
      <c r="AB239" s="241"/>
      <c r="AC239" s="5"/>
      <c r="AF239" s="202">
        <v>2002</v>
      </c>
      <c r="AG239" s="278">
        <v>185.26904132188093</v>
      </c>
      <c r="AH239" s="5"/>
      <c r="AR239" s="5"/>
      <c r="AS239" s="5"/>
    </row>
    <row r="240" spans="1:45" ht="11.25" customHeight="1">
      <c r="A240" s="301">
        <v>2003</v>
      </c>
      <c r="B240" s="278">
        <f t="shared" si="86"/>
        <v>67.761139380810974</v>
      </c>
      <c r="C240" s="283"/>
      <c r="D240" s="283"/>
      <c r="E240" s="283"/>
      <c r="F240" s="283"/>
      <c r="G240" s="283"/>
      <c r="H240" s="283"/>
      <c r="I240" s="283"/>
      <c r="J240" s="283"/>
      <c r="K240" s="283"/>
      <c r="L240" s="283"/>
      <c r="M240" s="283"/>
      <c r="N240" s="257"/>
      <c r="O240" s="7"/>
      <c r="P240" s="435">
        <v>2003</v>
      </c>
      <c r="Q240" s="502">
        <v>1.0276602591271031</v>
      </c>
      <c r="R240" s="281"/>
      <c r="S240" s="281"/>
      <c r="T240" s="281"/>
      <c r="U240" s="281"/>
      <c r="V240" s="281"/>
      <c r="W240" s="241"/>
      <c r="X240" s="241"/>
      <c r="Y240" s="241"/>
      <c r="Z240" s="241"/>
      <c r="AA240" s="241"/>
      <c r="AB240" s="241"/>
      <c r="AC240" s="5"/>
      <c r="AF240" s="202">
        <v>2003</v>
      </c>
      <c r="AG240" s="278">
        <v>65.937296668810987</v>
      </c>
      <c r="AH240" s="5"/>
      <c r="AR240" s="5"/>
      <c r="AS240" s="5"/>
    </row>
    <row r="241" spans="1:45" ht="11.25" customHeight="1">
      <c r="A241" s="301">
        <v>2004</v>
      </c>
      <c r="B241" s="278">
        <f t="shared" si="86"/>
        <v>60.796839150630049</v>
      </c>
      <c r="C241" s="283"/>
      <c r="D241" s="283"/>
      <c r="E241" s="283"/>
      <c r="F241" s="283"/>
      <c r="G241" s="283"/>
      <c r="H241" s="283"/>
      <c r="I241" s="283"/>
      <c r="J241" s="283"/>
      <c r="K241" s="283"/>
      <c r="L241" s="283"/>
      <c r="M241" s="283"/>
      <c r="N241" s="257"/>
      <c r="O241" s="7"/>
      <c r="P241" s="435">
        <v>2004</v>
      </c>
      <c r="Q241" s="502">
        <v>0.96406194130776734</v>
      </c>
      <c r="R241" s="281"/>
      <c r="S241" s="281"/>
      <c r="T241" s="281"/>
      <c r="U241" s="281"/>
      <c r="V241" s="281"/>
      <c r="W241" s="241"/>
      <c r="X241" s="241"/>
      <c r="Y241" s="241"/>
      <c r="Z241" s="241"/>
      <c r="AA241" s="241"/>
      <c r="AB241" s="241"/>
      <c r="AC241" s="5"/>
      <c r="AF241" s="202">
        <v>2004</v>
      </c>
      <c r="AG241" s="278">
        <v>63.063208436750493</v>
      </c>
      <c r="AH241" s="5"/>
      <c r="AR241" s="5"/>
      <c r="AS241" s="5"/>
    </row>
    <row r="242" spans="1:45" ht="11.25" customHeight="1">
      <c r="A242" s="301">
        <v>2005</v>
      </c>
      <c r="B242" s="278">
        <f t="shared" si="86"/>
        <v>132.19551366775022</v>
      </c>
      <c r="C242" s="283"/>
      <c r="D242" s="283"/>
      <c r="E242" s="283"/>
      <c r="F242" s="283"/>
      <c r="G242" s="283"/>
      <c r="H242" s="283"/>
      <c r="I242" s="283"/>
      <c r="J242" s="283"/>
      <c r="K242" s="283"/>
      <c r="L242" s="283"/>
      <c r="M242" s="283"/>
      <c r="N242" s="257"/>
      <c r="O242" s="7"/>
      <c r="P242" s="435">
        <v>2005</v>
      </c>
      <c r="Q242" s="502">
        <v>0.94546273044498297</v>
      </c>
      <c r="R242" s="281"/>
      <c r="S242" s="281"/>
      <c r="T242" s="281"/>
      <c r="U242" s="281"/>
      <c r="V242" s="281"/>
      <c r="W242" s="241"/>
      <c r="X242" s="241"/>
      <c r="Y242" s="241"/>
      <c r="Z242" s="241"/>
      <c r="AA242" s="241"/>
      <c r="AB242" s="241"/>
      <c r="AC242" s="5"/>
      <c r="AF242" s="202">
        <v>2005</v>
      </c>
      <c r="AG242" s="278">
        <v>139.8209674595341</v>
      </c>
      <c r="AH242" s="5"/>
      <c r="AR242" s="5"/>
      <c r="AS242" s="5"/>
    </row>
    <row r="243" spans="1:45" ht="11.25" customHeight="1">
      <c r="A243" s="301">
        <v>2006</v>
      </c>
      <c r="B243" s="278">
        <f t="shared" si="86"/>
        <v>119.66537339214781</v>
      </c>
      <c r="C243" s="283"/>
      <c r="D243" s="283"/>
      <c r="E243" s="283"/>
      <c r="F243" s="283"/>
      <c r="G243" s="283"/>
      <c r="H243" s="283"/>
      <c r="I243" s="283"/>
      <c r="J243" s="283"/>
      <c r="K243" s="283"/>
      <c r="L243" s="283"/>
      <c r="M243" s="283"/>
      <c r="N243" s="257"/>
      <c r="O243" s="7"/>
      <c r="P243" s="435">
        <v>2006</v>
      </c>
      <c r="Q243" s="502">
        <v>0.9158232219650787</v>
      </c>
      <c r="R243" s="281"/>
      <c r="S243" s="281"/>
      <c r="T243" s="281"/>
      <c r="U243" s="281"/>
      <c r="V243" s="281"/>
      <c r="W243" s="241"/>
      <c r="X243" s="241"/>
      <c r="Y243" s="241"/>
      <c r="Z243" s="241"/>
      <c r="AA243" s="241"/>
      <c r="AB243" s="241"/>
      <c r="AC243" s="5"/>
      <c r="AF243" s="202">
        <v>2006</v>
      </c>
      <c r="AG243" s="278">
        <v>130.66427070432024</v>
      </c>
      <c r="AH243" s="5"/>
      <c r="AR243" s="5"/>
      <c r="AS243" s="5"/>
    </row>
    <row r="244" spans="1:45" ht="11.25" customHeight="1">
      <c r="A244" s="301">
        <v>2007</v>
      </c>
      <c r="B244" s="278">
        <f t="shared" si="86"/>
        <v>111.244758470843</v>
      </c>
      <c r="C244" s="283"/>
      <c r="D244" s="283"/>
      <c r="E244" s="283"/>
      <c r="F244" s="283"/>
      <c r="G244" s="283"/>
      <c r="H244" s="283"/>
      <c r="I244" s="283"/>
      <c r="J244" s="283"/>
      <c r="K244" s="283"/>
      <c r="L244" s="283"/>
      <c r="M244" s="283"/>
      <c r="N244" s="257"/>
      <c r="O244" s="7"/>
      <c r="P244" s="435">
        <v>2007</v>
      </c>
      <c r="Q244" s="502">
        <v>0.89623062723581604</v>
      </c>
      <c r="R244" s="281"/>
      <c r="S244" s="241"/>
      <c r="T244" s="241"/>
      <c r="U244" s="241"/>
      <c r="V244" s="241"/>
      <c r="W244" s="241"/>
      <c r="X244" s="241"/>
      <c r="Y244" s="241"/>
      <c r="Z244" s="241"/>
      <c r="AA244" s="241"/>
      <c r="AB244" s="241"/>
      <c r="AC244" s="5"/>
      <c r="AF244" s="202">
        <v>2007</v>
      </c>
      <c r="AG244" s="278">
        <v>124.12514713310762</v>
      </c>
      <c r="AH244" s="5"/>
      <c r="AR244" s="5"/>
      <c r="AS244" s="5"/>
    </row>
    <row r="245" spans="1:45" ht="11.25" customHeight="1">
      <c r="A245" s="301">
        <v>2008</v>
      </c>
      <c r="B245" s="278">
        <f t="shared" si="86"/>
        <v>191.19261006186369</v>
      </c>
      <c r="C245" s="283"/>
      <c r="D245" s="283"/>
      <c r="E245" s="283"/>
      <c r="F245" s="283"/>
      <c r="G245" s="283"/>
      <c r="H245" s="283"/>
      <c r="I245" s="283"/>
      <c r="J245" s="283"/>
      <c r="K245" s="283"/>
      <c r="L245" s="283"/>
      <c r="M245" s="283"/>
      <c r="N245" s="257"/>
      <c r="O245" s="7"/>
      <c r="P245" s="435">
        <v>2008</v>
      </c>
      <c r="Q245" s="502">
        <v>0.91098264348063329</v>
      </c>
      <c r="R245" s="281"/>
      <c r="S245" s="241"/>
      <c r="T245" s="241"/>
      <c r="U245" s="241"/>
      <c r="V245" s="241"/>
      <c r="W245" s="241"/>
      <c r="X245" s="241"/>
      <c r="Y245" s="241"/>
      <c r="Z245" s="241"/>
      <c r="AA245" s="241"/>
      <c r="AB245" s="241"/>
      <c r="AC245" s="5"/>
      <c r="AF245" s="202">
        <v>2008</v>
      </c>
      <c r="AG245" s="278">
        <v>209.87514024566406</v>
      </c>
      <c r="AH245" s="5"/>
      <c r="AR245" s="5"/>
      <c r="AS245" s="5"/>
    </row>
    <row r="246" spans="1:45" ht="11.25" customHeight="1">
      <c r="A246" s="301">
        <v>2009</v>
      </c>
      <c r="B246" s="278">
        <f t="shared" si="86"/>
        <v>333.3294785803605</v>
      </c>
      <c r="C246" s="283"/>
      <c r="D246" s="283"/>
      <c r="E246" s="283"/>
      <c r="F246" s="283"/>
      <c r="G246" s="283"/>
      <c r="H246" s="283"/>
      <c r="I246" s="283"/>
      <c r="J246" s="283"/>
      <c r="K246" s="283"/>
      <c r="L246" s="283"/>
      <c r="M246" s="283"/>
      <c r="N246" s="257"/>
      <c r="O246" s="7"/>
      <c r="P246" s="435">
        <v>2009</v>
      </c>
      <c r="Q246" s="502">
        <v>0.9386472546640422</v>
      </c>
      <c r="R246" s="281"/>
      <c r="S246" s="241"/>
      <c r="T246" s="241"/>
      <c r="U246" s="241"/>
      <c r="V246" s="241"/>
      <c r="W246" s="241"/>
      <c r="X246" s="241"/>
      <c r="Y246" s="241"/>
      <c r="Z246" s="241"/>
      <c r="AA246" s="241"/>
      <c r="AB246" s="241"/>
      <c r="AC246" s="5"/>
      <c r="AF246" s="202">
        <v>2009</v>
      </c>
      <c r="AG246" s="278">
        <v>355.11687369678054</v>
      </c>
      <c r="AH246" s="5"/>
      <c r="AR246" s="5"/>
      <c r="AS246" s="5"/>
    </row>
    <row r="247" spans="1:45" ht="11.25" customHeight="1">
      <c r="A247" s="301">
        <v>2010</v>
      </c>
      <c r="B247" s="278">
        <f t="shared" si="86"/>
        <v>253.17165541814941</v>
      </c>
      <c r="C247" s="283"/>
      <c r="D247" s="283"/>
      <c r="E247" s="283"/>
      <c r="F247" s="283"/>
      <c r="G247" s="283"/>
      <c r="H247" s="283"/>
      <c r="I247" s="283"/>
      <c r="J247" s="283"/>
      <c r="K247" s="283"/>
      <c r="L247" s="283"/>
      <c r="M247" s="283"/>
      <c r="N247" s="257"/>
      <c r="O247" s="7"/>
      <c r="P247" s="435">
        <v>2010</v>
      </c>
      <c r="Q247" s="502">
        <v>0.98807313818567633</v>
      </c>
      <c r="R247" s="281"/>
      <c r="S247" s="241"/>
      <c r="T247" s="241"/>
      <c r="U247" s="241"/>
      <c r="V247" s="241"/>
      <c r="W247" s="241"/>
      <c r="X247" s="241"/>
      <c r="Y247" s="241"/>
      <c r="Z247" s="241"/>
      <c r="AA247" s="241"/>
      <c r="AB247" s="241"/>
      <c r="AC247" s="5"/>
      <c r="AF247" s="202">
        <v>2010</v>
      </c>
      <c r="AG247" s="436">
        <v>256.22764715882198</v>
      </c>
      <c r="AH247" s="5"/>
      <c r="AR247" s="5"/>
      <c r="AS247" s="5"/>
    </row>
    <row r="248" spans="1:45" ht="11.25" customHeight="1">
      <c r="A248" s="301">
        <v>2011</v>
      </c>
      <c r="B248" s="278">
        <f t="shared" si="86"/>
        <v>209.90882078222836</v>
      </c>
      <c r="C248" s="283"/>
      <c r="D248" s="283"/>
      <c r="E248" s="283"/>
      <c r="F248" s="283"/>
      <c r="G248" s="283"/>
      <c r="H248" s="283"/>
      <c r="I248" s="283"/>
      <c r="J248" s="283"/>
      <c r="K248" s="283"/>
      <c r="L248" s="283"/>
      <c r="M248" s="283"/>
      <c r="N248" s="257"/>
      <c r="O248" s="7"/>
      <c r="P248" s="435">
        <v>2011</v>
      </c>
      <c r="Q248" s="502">
        <v>1.0436244760879552</v>
      </c>
      <c r="R248" s="281"/>
      <c r="S248" s="241"/>
      <c r="T248" s="241"/>
      <c r="U248" s="241"/>
      <c r="V248" s="241"/>
      <c r="W248" s="241"/>
      <c r="X248" s="241"/>
      <c r="Y248" s="241"/>
      <c r="Z248" s="241"/>
      <c r="AA248" s="241"/>
      <c r="AB248" s="241"/>
      <c r="AC248" s="5"/>
      <c r="AF248" s="202">
        <v>2011</v>
      </c>
      <c r="AG248" s="436">
        <v>201.1344363722431</v>
      </c>
      <c r="AH248" s="5"/>
      <c r="AR248" s="5"/>
      <c r="AS248" s="5"/>
    </row>
    <row r="249" spans="1:45" s="493" customFormat="1" ht="11.25" customHeight="1">
      <c r="A249" s="505">
        <v>2012</v>
      </c>
      <c r="B249" s="509">
        <f t="shared" si="86"/>
        <v>117.84836518984136</v>
      </c>
      <c r="C249" s="504"/>
      <c r="D249" s="504"/>
      <c r="E249" s="504"/>
      <c r="F249" s="504"/>
      <c r="G249" s="504"/>
      <c r="H249" s="504"/>
      <c r="I249" s="504"/>
      <c r="J249" s="504"/>
      <c r="K249" s="504"/>
      <c r="L249" s="504"/>
      <c r="M249" s="504"/>
      <c r="N249" s="501"/>
      <c r="O249" s="495"/>
      <c r="P249" s="508">
        <v>2012</v>
      </c>
      <c r="Q249" s="502">
        <v>1.2396403877881228</v>
      </c>
      <c r="R249" s="503"/>
      <c r="S249" s="500"/>
      <c r="T249" s="500"/>
      <c r="U249" s="500"/>
      <c r="V249" s="500"/>
      <c r="W249" s="500"/>
      <c r="X249" s="500"/>
      <c r="Y249" s="500"/>
      <c r="Z249" s="500"/>
      <c r="AA249" s="500"/>
      <c r="AB249" s="500"/>
      <c r="AC249" s="494"/>
      <c r="AD249" s="494"/>
      <c r="AE249" s="494"/>
      <c r="AF249" s="498">
        <v>2012</v>
      </c>
      <c r="AG249" s="510">
        <v>95.066574428183117</v>
      </c>
      <c r="AH249" s="494"/>
      <c r="AR249" s="494"/>
      <c r="AS249" s="494"/>
    </row>
    <row r="250" spans="1:45" s="493" customFormat="1" ht="11.25" customHeight="1">
      <c r="A250" s="505">
        <v>2013</v>
      </c>
      <c r="B250" s="509">
        <f t="shared" si="86"/>
        <v>96.369182371593013</v>
      </c>
      <c r="C250" s="504"/>
      <c r="D250" s="504"/>
      <c r="E250" s="504"/>
      <c r="F250" s="504"/>
      <c r="G250" s="504"/>
      <c r="H250" s="504"/>
      <c r="I250" s="504"/>
      <c r="J250" s="504"/>
      <c r="K250" s="504"/>
      <c r="L250" s="504"/>
      <c r="M250" s="504"/>
      <c r="N250" s="501"/>
      <c r="O250" s="495"/>
      <c r="P250" s="508">
        <v>2013</v>
      </c>
      <c r="Q250" s="502">
        <v>1</v>
      </c>
      <c r="R250" s="503"/>
      <c r="S250" s="500"/>
      <c r="T250" s="500"/>
      <c r="U250" s="500"/>
      <c r="V250" s="500"/>
      <c r="W250" s="500"/>
      <c r="X250" s="500"/>
      <c r="Y250" s="500"/>
      <c r="Z250" s="500"/>
      <c r="AA250" s="500"/>
      <c r="AB250" s="500"/>
      <c r="AC250" s="494"/>
      <c r="AD250" s="494"/>
      <c r="AE250" s="494"/>
      <c r="AF250" s="498">
        <v>2013</v>
      </c>
      <c r="AG250" s="510">
        <v>96.369182371593013</v>
      </c>
      <c r="AH250" s="494"/>
      <c r="AR250" s="494"/>
      <c r="AS250" s="494"/>
    </row>
    <row r="251" spans="1:45" s="493" customFormat="1" ht="11.25" customHeight="1">
      <c r="A251" s="505">
        <v>2014</v>
      </c>
      <c r="B251" s="509">
        <f t="shared" si="86"/>
        <v>111.45676344230812</v>
      </c>
      <c r="C251" s="504"/>
      <c r="D251" s="504"/>
      <c r="E251" s="504"/>
      <c r="F251" s="504"/>
      <c r="G251" s="504"/>
      <c r="H251" s="504"/>
      <c r="I251" s="504"/>
      <c r="J251" s="504"/>
      <c r="K251" s="504"/>
      <c r="L251" s="504"/>
      <c r="M251" s="504"/>
      <c r="N251" s="501"/>
      <c r="O251" s="495"/>
      <c r="P251" s="508">
        <v>2014</v>
      </c>
      <c r="Q251" s="502">
        <v>1</v>
      </c>
      <c r="R251" s="503"/>
      <c r="S251" s="500"/>
      <c r="T251" s="500"/>
      <c r="U251" s="500"/>
      <c r="V251" s="500"/>
      <c r="W251" s="500"/>
      <c r="X251" s="500"/>
      <c r="Y251" s="500"/>
      <c r="Z251" s="500"/>
      <c r="AA251" s="500"/>
      <c r="AB251" s="500"/>
      <c r="AC251" s="494"/>
      <c r="AD251" s="494"/>
      <c r="AE251" s="494"/>
      <c r="AF251" s="498">
        <v>2014</v>
      </c>
      <c r="AG251" s="510">
        <v>111.45676344230812</v>
      </c>
      <c r="AH251" s="494"/>
      <c r="AR251" s="494"/>
      <c r="AS251" s="494"/>
    </row>
    <row r="252" spans="1:45" s="493" customFormat="1" ht="11.25" customHeight="1">
      <c r="A252" s="505">
        <v>2015</v>
      </c>
      <c r="B252" s="509">
        <f t="shared" si="86"/>
        <v>111.45676344230812</v>
      </c>
      <c r="C252" s="504"/>
      <c r="D252" s="504"/>
      <c r="E252" s="504"/>
      <c r="F252" s="504"/>
      <c r="G252" s="504"/>
      <c r="H252" s="504"/>
      <c r="I252" s="504"/>
      <c r="J252" s="504"/>
      <c r="K252" s="504"/>
      <c r="L252" s="504"/>
      <c r="M252" s="504"/>
      <c r="N252" s="501"/>
      <c r="O252" s="495"/>
      <c r="P252" s="508">
        <v>2015</v>
      </c>
      <c r="Q252" s="502">
        <v>1</v>
      </c>
      <c r="R252" s="503"/>
      <c r="S252" s="500"/>
      <c r="T252" s="500"/>
      <c r="U252" s="500"/>
      <c r="V252" s="500"/>
      <c r="W252" s="500"/>
      <c r="X252" s="500"/>
      <c r="Y252" s="500"/>
      <c r="Z252" s="500"/>
      <c r="AA252" s="500"/>
      <c r="AB252" s="500"/>
      <c r="AC252" s="494"/>
      <c r="AD252" s="494"/>
      <c r="AE252" s="494"/>
      <c r="AF252" s="498">
        <v>2015</v>
      </c>
      <c r="AG252" s="510">
        <v>111.45676344230812</v>
      </c>
      <c r="AH252" s="494"/>
      <c r="AR252" s="494"/>
      <c r="AS252" s="494"/>
    </row>
    <row r="253" spans="1:45" s="493" customFormat="1" ht="11.25" customHeight="1">
      <c r="A253" s="505"/>
      <c r="B253" s="509"/>
      <c r="C253" s="504"/>
      <c r="D253" s="504"/>
      <c r="E253" s="504"/>
      <c r="F253" s="504"/>
      <c r="G253" s="504"/>
      <c r="H253" s="504"/>
      <c r="I253" s="504"/>
      <c r="J253" s="504"/>
      <c r="K253" s="504"/>
      <c r="L253" s="504"/>
      <c r="M253" s="504"/>
      <c r="N253" s="501"/>
      <c r="O253" s="495"/>
      <c r="P253" s="508"/>
      <c r="Q253" s="502"/>
      <c r="R253" s="503"/>
      <c r="S253" s="500"/>
      <c r="T253" s="500"/>
      <c r="U253" s="500"/>
      <c r="V253" s="500"/>
      <c r="W253" s="500"/>
      <c r="X253" s="500"/>
      <c r="Y253" s="500"/>
      <c r="Z253" s="500"/>
      <c r="AA253" s="500"/>
      <c r="AB253" s="500"/>
      <c r="AC253" s="494"/>
      <c r="AD253" s="494"/>
      <c r="AE253" s="494"/>
      <c r="AF253" s="498"/>
      <c r="AG253" s="510"/>
      <c r="AH253" s="494"/>
      <c r="AR253" s="494"/>
      <c r="AS253" s="494"/>
    </row>
    <row r="254" spans="1:45" s="493" customFormat="1" ht="11.25" customHeight="1">
      <c r="A254" s="505"/>
      <c r="B254" s="509"/>
      <c r="C254" s="504"/>
      <c r="D254" s="504"/>
      <c r="E254" s="504"/>
      <c r="F254" s="504"/>
      <c r="G254" s="504"/>
      <c r="H254" s="504"/>
      <c r="I254" s="504"/>
      <c r="J254" s="504"/>
      <c r="K254" s="504"/>
      <c r="L254" s="504"/>
      <c r="M254" s="504"/>
      <c r="N254" s="501"/>
      <c r="O254" s="495"/>
      <c r="P254" s="508"/>
      <c r="Q254" s="502"/>
      <c r="R254" s="503"/>
      <c r="S254" s="500"/>
      <c r="T254" s="500"/>
      <c r="U254" s="500"/>
      <c r="V254" s="500"/>
      <c r="W254" s="500"/>
      <c r="X254" s="500"/>
      <c r="Y254" s="500"/>
      <c r="Z254" s="500"/>
      <c r="AA254" s="500"/>
      <c r="AB254" s="500"/>
      <c r="AC254" s="494"/>
      <c r="AD254" s="494"/>
      <c r="AE254" s="494"/>
      <c r="AF254" s="498"/>
      <c r="AG254" s="510"/>
      <c r="AH254" s="494"/>
      <c r="AR254" s="494"/>
      <c r="AS254" s="494"/>
    </row>
    <row r="255" spans="1:45" s="493" customFormat="1" ht="11.25" customHeight="1">
      <c r="A255" s="505"/>
      <c r="B255" s="509"/>
      <c r="C255" s="504"/>
      <c r="D255" s="504"/>
      <c r="E255" s="504"/>
      <c r="F255" s="504"/>
      <c r="G255" s="504"/>
      <c r="H255" s="504"/>
      <c r="I255" s="504"/>
      <c r="J255" s="504"/>
      <c r="K255" s="504"/>
      <c r="L255" s="504"/>
      <c r="M255" s="504"/>
      <c r="N255" s="501"/>
      <c r="O255" s="495"/>
      <c r="P255" s="508"/>
      <c r="Q255" s="502"/>
      <c r="R255" s="503"/>
      <c r="S255" s="500"/>
      <c r="T255" s="500"/>
      <c r="U255" s="500"/>
      <c r="V255" s="500"/>
      <c r="W255" s="500"/>
      <c r="X255" s="500"/>
      <c r="Y255" s="500"/>
      <c r="Z255" s="500"/>
      <c r="AA255" s="500"/>
      <c r="AB255" s="500"/>
      <c r="AC255" s="494"/>
      <c r="AD255" s="494"/>
      <c r="AE255" s="494"/>
      <c r="AF255" s="498"/>
      <c r="AG255" s="510"/>
      <c r="AH255" s="494"/>
      <c r="AR255" s="494"/>
      <c r="AS255" s="494"/>
    </row>
    <row r="256" spans="1:45" s="493" customFormat="1" ht="11.25" customHeight="1">
      <c r="A256" s="505"/>
      <c r="B256" s="509"/>
      <c r="C256" s="504"/>
      <c r="D256" s="504"/>
      <c r="E256" s="504"/>
      <c r="F256" s="504"/>
      <c r="G256" s="504"/>
      <c r="H256" s="504"/>
      <c r="I256" s="504"/>
      <c r="J256" s="504"/>
      <c r="K256" s="504"/>
      <c r="L256" s="504"/>
      <c r="M256" s="504"/>
      <c r="N256" s="501"/>
      <c r="O256" s="495"/>
      <c r="P256" s="508"/>
      <c r="Q256" s="502"/>
      <c r="R256" s="503"/>
      <c r="S256" s="500"/>
      <c r="T256" s="500"/>
      <c r="U256" s="500"/>
      <c r="V256" s="500"/>
      <c r="W256" s="500"/>
      <c r="X256" s="500"/>
      <c r="Y256" s="500"/>
      <c r="Z256" s="500"/>
      <c r="AA256" s="500"/>
      <c r="AB256" s="500"/>
      <c r="AC256" s="494"/>
      <c r="AD256" s="494"/>
      <c r="AE256" s="494"/>
      <c r="AF256" s="498"/>
      <c r="AG256" s="510"/>
      <c r="AH256" s="494"/>
      <c r="AR256" s="494"/>
      <c r="AS256" s="494"/>
    </row>
    <row r="257" spans="1:45" ht="11.25" customHeight="1" thickBot="1">
      <c r="A257" s="301"/>
      <c r="B257" s="278"/>
      <c r="C257" s="283"/>
      <c r="D257" s="283"/>
      <c r="E257" s="283"/>
      <c r="F257" s="283"/>
      <c r="G257" s="283"/>
      <c r="H257" s="283"/>
      <c r="I257" s="283"/>
      <c r="J257" s="283"/>
      <c r="K257" s="283"/>
      <c r="L257" s="283"/>
      <c r="M257" s="283"/>
      <c r="N257" s="257"/>
      <c r="O257" s="7"/>
      <c r="P257" s="435"/>
      <c r="Q257" s="274"/>
      <c r="R257" s="281"/>
      <c r="S257" s="241"/>
      <c r="T257" s="241"/>
      <c r="U257" s="241"/>
      <c r="V257" s="241"/>
      <c r="W257" s="241"/>
      <c r="X257" s="241"/>
      <c r="Y257" s="241"/>
      <c r="Z257" s="241"/>
      <c r="AA257" s="241"/>
      <c r="AB257" s="241"/>
      <c r="AC257" s="5"/>
      <c r="AF257" s="461"/>
      <c r="AG257" s="428"/>
      <c r="AH257" s="5"/>
      <c r="AR257" s="5"/>
      <c r="AS257" s="5"/>
    </row>
    <row r="258" spans="1:45" ht="11.25" customHeight="1">
      <c r="A258" s="399" t="s">
        <v>85</v>
      </c>
      <c r="B258" s="400"/>
      <c r="C258" s="401"/>
      <c r="D258" s="401"/>
      <c r="E258" s="401"/>
      <c r="F258" s="401"/>
      <c r="G258" s="401"/>
      <c r="H258" s="402" t="s">
        <v>86</v>
      </c>
      <c r="I258" s="403"/>
      <c r="J258" s="404"/>
      <c r="K258" s="283"/>
      <c r="L258" s="283"/>
      <c r="M258" s="283"/>
      <c r="N258" s="257"/>
      <c r="O258" s="7"/>
      <c r="P258" s="308" t="s">
        <v>85</v>
      </c>
      <c r="Q258" s="309"/>
      <c r="R258" s="310"/>
      <c r="S258" s="310"/>
      <c r="T258" s="310"/>
      <c r="U258" s="310"/>
      <c r="V258" s="310"/>
      <c r="W258" s="311" t="s">
        <v>86</v>
      </c>
      <c r="X258" s="312"/>
      <c r="Y258" s="313"/>
      <c r="Z258" s="279"/>
      <c r="AA258" s="281"/>
      <c r="AB258" s="281"/>
      <c r="AC258" s="5"/>
      <c r="AF258" s="314" t="s">
        <v>85</v>
      </c>
      <c r="AG258" s="275"/>
      <c r="AH258" s="167"/>
      <c r="AI258" s="167"/>
      <c r="AJ258" s="167"/>
      <c r="AK258" s="167"/>
      <c r="AL258" s="167"/>
      <c r="AM258" s="305" t="s">
        <v>86</v>
      </c>
      <c r="AN258" s="306"/>
      <c r="AO258" s="307"/>
      <c r="AP258" s="5"/>
      <c r="AQ258" s="5"/>
      <c r="AR258" s="5"/>
      <c r="AS258" s="5"/>
    </row>
    <row r="259" spans="1:45" ht="11.25" customHeight="1">
      <c r="A259" s="405"/>
      <c r="B259" s="283"/>
      <c r="C259" s="283"/>
      <c r="D259" s="283"/>
      <c r="E259" s="283"/>
      <c r="F259" s="283"/>
      <c r="G259" s="301"/>
      <c r="H259" s="406" t="s">
        <v>87</v>
      </c>
      <c r="I259" s="407"/>
      <c r="J259" s="408" t="s">
        <v>88</v>
      </c>
      <c r="K259" s="409"/>
      <c r="L259" s="283"/>
      <c r="M259" s="283"/>
      <c r="N259" s="257"/>
      <c r="O259" s="7"/>
      <c r="P259" s="308"/>
      <c r="Q259" s="281"/>
      <c r="R259" s="281"/>
      <c r="S259" s="281"/>
      <c r="T259" s="281"/>
      <c r="U259" s="281"/>
      <c r="V259" s="317"/>
      <c r="W259" s="318" t="s">
        <v>87</v>
      </c>
      <c r="X259" s="319"/>
      <c r="Y259" s="320"/>
      <c r="Z259" s="279"/>
      <c r="AA259" s="281"/>
      <c r="AB259" s="281"/>
      <c r="AC259" s="5"/>
      <c r="AF259" s="314"/>
      <c r="AG259" s="5"/>
      <c r="AH259" s="5"/>
      <c r="AI259" s="5"/>
      <c r="AJ259" s="5"/>
      <c r="AK259" s="5"/>
      <c r="AL259" s="32"/>
      <c r="AM259" s="315" t="s">
        <v>87</v>
      </c>
      <c r="AN259" s="181"/>
      <c r="AO259" s="316" t="s">
        <v>88</v>
      </c>
      <c r="AP259" s="205"/>
      <c r="AQ259" s="5"/>
      <c r="AR259" s="5"/>
      <c r="AS259" s="5"/>
    </row>
    <row r="260" spans="1:45" ht="11.25" customHeight="1">
      <c r="A260" s="405"/>
      <c r="B260" s="283"/>
      <c r="C260" s="283"/>
      <c r="D260" s="283"/>
      <c r="E260" s="409"/>
      <c r="F260" s="409"/>
      <c r="G260" s="283"/>
      <c r="H260" s="641" t="s">
        <v>89</v>
      </c>
      <c r="I260" s="641" t="s">
        <v>90</v>
      </c>
      <c r="J260" s="410"/>
      <c r="K260" s="409"/>
      <c r="L260" s="283"/>
      <c r="M260" s="283"/>
      <c r="N260" s="257"/>
      <c r="O260" s="7"/>
      <c r="P260" s="308"/>
      <c r="Q260" s="281"/>
      <c r="R260" s="281"/>
      <c r="S260" s="281"/>
      <c r="T260" s="279"/>
      <c r="U260" s="279"/>
      <c r="V260" s="281"/>
      <c r="W260" s="322"/>
      <c r="X260" s="322"/>
      <c r="Y260" s="323" t="s">
        <v>88</v>
      </c>
      <c r="Z260" s="279"/>
      <c r="AA260" s="281"/>
      <c r="AB260" s="281"/>
      <c r="AC260" s="5"/>
      <c r="AF260" s="314"/>
      <c r="AG260" s="5"/>
      <c r="AH260" s="5"/>
      <c r="AI260" s="5"/>
      <c r="AJ260" s="205"/>
      <c r="AK260" s="205"/>
      <c r="AL260" s="5"/>
      <c r="AM260" s="656" t="s">
        <v>89</v>
      </c>
      <c r="AN260" s="656" t="s">
        <v>90</v>
      </c>
      <c r="AO260" s="321"/>
      <c r="AP260" s="205"/>
      <c r="AQ260" s="5"/>
      <c r="AR260" s="5"/>
      <c r="AS260" s="5"/>
    </row>
    <row r="261" spans="1:45" ht="11.25" customHeight="1">
      <c r="A261" s="405"/>
      <c r="B261" s="411"/>
      <c r="C261" s="283"/>
      <c r="D261" s="283"/>
      <c r="E261" s="409"/>
      <c r="F261" s="412" t="s">
        <v>16</v>
      </c>
      <c r="G261" s="636"/>
      <c r="H261" s="414">
        <f t="shared" ref="H261:I263" si="87">(AM261)*W261</f>
        <v>5.500164545447241</v>
      </c>
      <c r="I261" s="415">
        <f t="shared" si="87"/>
        <v>-1.2487868369740971</v>
      </c>
      <c r="J261" s="638" t="s">
        <v>91</v>
      </c>
      <c r="K261" s="409"/>
      <c r="L261" s="283"/>
      <c r="M261" s="283"/>
      <c r="N261" s="257"/>
      <c r="O261" s="7"/>
      <c r="P261" s="308"/>
      <c r="Q261" s="298"/>
      <c r="R261" s="281"/>
      <c r="S261" s="281"/>
      <c r="T261" s="279"/>
      <c r="U261" s="325" t="s">
        <v>16</v>
      </c>
      <c r="V261" s="326"/>
      <c r="W261" s="646">
        <v>0.97930548589410438</v>
      </c>
      <c r="X261" s="647">
        <v>1.0037096407167378</v>
      </c>
      <c r="Y261" s="320" t="s">
        <v>91</v>
      </c>
      <c r="Z261" s="279"/>
      <c r="AA261" s="281"/>
      <c r="AB261" s="281"/>
      <c r="AC261" s="5"/>
      <c r="AF261" s="314"/>
      <c r="AG261" s="219"/>
      <c r="AH261" s="5"/>
      <c r="AI261" s="5"/>
      <c r="AJ261" s="205"/>
      <c r="AK261" s="324" t="s">
        <v>16</v>
      </c>
      <c r="AL261" s="652"/>
      <c r="AM261" s="328">
        <v>5.6163930710809806</v>
      </c>
      <c r="AN261" s="329">
        <v>-1.244171408060156</v>
      </c>
      <c r="AO261" s="653" t="s">
        <v>91</v>
      </c>
      <c r="AP261" s="205"/>
      <c r="AQ261" s="5"/>
      <c r="AR261" s="5"/>
      <c r="AS261" s="5"/>
    </row>
    <row r="262" spans="1:45" ht="11.25" customHeight="1">
      <c r="A262" s="405"/>
      <c r="B262" s="411"/>
      <c r="C262" s="283"/>
      <c r="D262" s="283"/>
      <c r="E262" s="409"/>
      <c r="F262" s="413" t="s">
        <v>92</v>
      </c>
      <c r="G262" s="637"/>
      <c r="H262" s="642">
        <f t="shared" si="87"/>
        <v>5.6814789764967077</v>
      </c>
      <c r="I262" s="643">
        <f t="shared" si="87"/>
        <v>-0.50409738487106137</v>
      </c>
      <c r="J262" s="639" t="s">
        <v>91</v>
      </c>
      <c r="K262" s="409"/>
      <c r="L262" s="283"/>
      <c r="M262" s="283"/>
      <c r="N262" s="257"/>
      <c r="O262" s="7"/>
      <c r="P262" s="308"/>
      <c r="Q262" s="298"/>
      <c r="R262" s="281"/>
      <c r="S262" s="281"/>
      <c r="T262" s="279"/>
      <c r="U262" s="330" t="s">
        <v>92</v>
      </c>
      <c r="V262" s="331"/>
      <c r="W262" s="648">
        <v>1.0789930598031425</v>
      </c>
      <c r="X262" s="649">
        <v>0.7007107250697826</v>
      </c>
      <c r="Y262" s="332" t="s">
        <v>91</v>
      </c>
      <c r="Z262" s="279"/>
      <c r="AA262" s="281"/>
      <c r="AB262" s="281"/>
      <c r="AC262" s="5"/>
      <c r="AF262" s="314"/>
      <c r="AG262" s="219"/>
      <c r="AH262" s="5"/>
      <c r="AI262" s="5"/>
      <c r="AJ262" s="205"/>
      <c r="AK262" s="327" t="s">
        <v>92</v>
      </c>
      <c r="AL262" s="349"/>
      <c r="AM262" s="657">
        <v>5.2655380170223411</v>
      </c>
      <c r="AN262" s="658">
        <v>-0.71940869011368302</v>
      </c>
      <c r="AO262" s="654" t="s">
        <v>91</v>
      </c>
      <c r="AP262" s="205"/>
      <c r="AQ262" s="5"/>
      <c r="AR262" s="5"/>
      <c r="AS262" s="5"/>
    </row>
    <row r="263" spans="1:45" ht="11.25" customHeight="1" thickBot="1">
      <c r="A263" s="416"/>
      <c r="B263" s="417"/>
      <c r="C263" s="417"/>
      <c r="D263" s="417"/>
      <c r="E263" s="418"/>
      <c r="F263" s="419" t="s">
        <v>93</v>
      </c>
      <c r="G263" s="418"/>
      <c r="H263" s="644">
        <f t="shared" si="87"/>
        <v>5.3097556514990334</v>
      </c>
      <c r="I263" s="645">
        <f t="shared" si="87"/>
        <v>-1.0584419866675285</v>
      </c>
      <c r="J263" s="640" t="s">
        <v>91</v>
      </c>
      <c r="K263" s="409"/>
      <c r="L263" s="283"/>
      <c r="M263" s="283"/>
      <c r="N263" s="336"/>
      <c r="O263" s="7"/>
      <c r="P263" s="337"/>
      <c r="Q263" s="338"/>
      <c r="R263" s="338"/>
      <c r="S263" s="338"/>
      <c r="T263" s="339"/>
      <c r="U263" s="340" t="s">
        <v>93</v>
      </c>
      <c r="V263" s="341"/>
      <c r="W263" s="650">
        <v>0.98274371419542117</v>
      </c>
      <c r="X263" s="651">
        <v>1.0711885585746157</v>
      </c>
      <c r="Y263" s="342" t="s">
        <v>91</v>
      </c>
      <c r="Z263" s="279"/>
      <c r="AA263" s="281"/>
      <c r="AB263" s="281"/>
      <c r="AC263" s="5"/>
      <c r="AF263" s="333"/>
      <c r="AG263" s="174"/>
      <c r="AH263" s="174"/>
      <c r="AI263" s="174"/>
      <c r="AJ263" s="334"/>
      <c r="AK263" s="335" t="s">
        <v>93</v>
      </c>
      <c r="AL263" s="334"/>
      <c r="AM263" s="659">
        <v>5.4029912120538626</v>
      </c>
      <c r="AN263" s="660">
        <v>-0.98810053393022745</v>
      </c>
      <c r="AO263" s="655" t="s">
        <v>91</v>
      </c>
      <c r="AP263" s="205"/>
      <c r="AQ263" s="5"/>
      <c r="AR263" s="5"/>
      <c r="AS263" s="5"/>
    </row>
    <row r="264" spans="1:45" ht="11.25" customHeight="1">
      <c r="A264" s="5"/>
      <c r="B264" s="5"/>
      <c r="C264" s="5"/>
      <c r="D264" s="5"/>
      <c r="E264" s="205"/>
      <c r="F264" s="205"/>
      <c r="G264" s="205"/>
      <c r="H264" s="205"/>
      <c r="I264" s="205"/>
      <c r="J264" s="205"/>
      <c r="K264" s="205"/>
      <c r="L264" s="5"/>
      <c r="M264" s="5"/>
      <c r="N264" s="5"/>
      <c r="O264" s="7"/>
      <c r="P264" s="281"/>
      <c r="Q264" s="281"/>
      <c r="R264" s="281"/>
      <c r="S264" s="281"/>
      <c r="T264" s="279"/>
      <c r="U264" s="279"/>
      <c r="V264" s="279"/>
      <c r="W264" s="279"/>
      <c r="X264" s="279"/>
      <c r="Y264" s="279"/>
      <c r="Z264" s="289"/>
      <c r="AA264" s="281"/>
      <c r="AB264" s="281"/>
      <c r="AC264" s="5"/>
      <c r="AF264" s="5"/>
      <c r="AG264" s="5"/>
      <c r="AH264" s="5"/>
      <c r="AI264" s="5"/>
      <c r="AJ264" s="205"/>
      <c r="AK264" s="205"/>
      <c r="AL264" s="205"/>
      <c r="AM264" s="205"/>
      <c r="AN264" s="205"/>
      <c r="AO264" s="205"/>
      <c r="AP264" s="205"/>
      <c r="AQ264" s="5"/>
      <c r="AR264" s="5"/>
      <c r="AS264" s="5"/>
    </row>
    <row r="265" spans="1:45" ht="11.25" customHeight="1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216"/>
      <c r="L265" s="5"/>
      <c r="M265" s="5"/>
      <c r="N265" s="5"/>
      <c r="O265" s="6"/>
      <c r="P265" s="281"/>
      <c r="Q265" s="281"/>
      <c r="R265" s="281"/>
      <c r="S265" s="281"/>
      <c r="T265" s="279"/>
      <c r="U265" s="279"/>
      <c r="V265" s="279"/>
      <c r="W265" s="279"/>
      <c r="X265" s="279"/>
      <c r="Y265" s="281"/>
      <c r="Z265" s="5"/>
      <c r="AB265" s="7"/>
      <c r="AC265" s="7"/>
      <c r="AD265" s="7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216"/>
      <c r="AQ265" s="5"/>
      <c r="AR265" s="5"/>
      <c r="AS265" s="5"/>
    </row>
    <row r="266" spans="1:45" ht="11.25" customHeight="1">
      <c r="A266" s="343" t="s">
        <v>94</v>
      </c>
      <c r="B266" s="344"/>
      <c r="C266" s="345"/>
      <c r="D266" s="345"/>
      <c r="E266" s="345"/>
      <c r="F266" s="345"/>
      <c r="G266" s="345"/>
      <c r="H266" s="345"/>
      <c r="I266" s="345"/>
      <c r="J266" s="345"/>
      <c r="K266" s="306"/>
      <c r="L266" s="346"/>
      <c r="M266" s="347"/>
      <c r="P266" s="348"/>
      <c r="Q266" s="349"/>
      <c r="R266" s="240"/>
      <c r="S266" s="240"/>
      <c r="T266" s="300"/>
      <c r="U266" s="5"/>
      <c r="V266" s="216"/>
      <c r="Y266" s="5"/>
      <c r="AC266" s="5"/>
      <c r="AE266" s="7"/>
      <c r="AF266" s="348"/>
      <c r="AG266" s="349"/>
      <c r="AH266" s="240"/>
      <c r="AI266" s="240"/>
      <c r="AJ266" s="300"/>
      <c r="AK266" s="5"/>
      <c r="AL266" s="216"/>
      <c r="AQ266" s="7"/>
      <c r="AR266" s="7"/>
    </row>
    <row r="267" spans="1:45" ht="11.25" customHeight="1">
      <c r="A267" s="350" t="s">
        <v>9</v>
      </c>
      <c r="B267" s="31">
        <f>first_age</f>
        <v>4</v>
      </c>
      <c r="C267" s="31">
        <f t="shared" ref="C267:M267" si="88">B267+1</f>
        <v>5</v>
      </c>
      <c r="D267" s="31">
        <f t="shared" si="88"/>
        <v>6</v>
      </c>
      <c r="E267" s="31">
        <f t="shared" si="88"/>
        <v>7</v>
      </c>
      <c r="F267" s="31">
        <f t="shared" si="88"/>
        <v>8</v>
      </c>
      <c r="G267" s="31">
        <f t="shared" si="88"/>
        <v>9</v>
      </c>
      <c r="H267" s="31">
        <f t="shared" si="88"/>
        <v>10</v>
      </c>
      <c r="I267" s="31">
        <f t="shared" si="88"/>
        <v>11</v>
      </c>
      <c r="J267" s="31">
        <f t="shared" si="88"/>
        <v>12</v>
      </c>
      <c r="K267" s="31">
        <f t="shared" si="88"/>
        <v>13</v>
      </c>
      <c r="L267" s="31">
        <f t="shared" si="88"/>
        <v>14</v>
      </c>
      <c r="M267" s="351">
        <f t="shared" si="88"/>
        <v>15</v>
      </c>
    </row>
    <row r="268" spans="1:45" ht="11.25" customHeight="1">
      <c r="A268" s="352" t="s">
        <v>95</v>
      </c>
      <c r="B268" s="353">
        <f>+H220</f>
        <v>0.85</v>
      </c>
      <c r="C268" s="353">
        <f>$H$220</f>
        <v>0.85</v>
      </c>
      <c r="D268" s="353">
        <f>$H$220</f>
        <v>0.85</v>
      </c>
      <c r="E268" s="353">
        <f>$H$220</f>
        <v>0.85</v>
      </c>
      <c r="F268" s="353">
        <f t="shared" ref="F268:M268" si="89">$H$220-$H$221*(F$267-$F$267)</f>
        <v>0.85</v>
      </c>
      <c r="G268" s="353">
        <f t="shared" si="89"/>
        <v>0.8000446872781849</v>
      </c>
      <c r="H268" s="353">
        <f t="shared" si="89"/>
        <v>0.75008937455636981</v>
      </c>
      <c r="I268" s="353">
        <f t="shared" si="89"/>
        <v>0.70013406183455473</v>
      </c>
      <c r="J268" s="353">
        <f t="shared" si="89"/>
        <v>0.65017874911273965</v>
      </c>
      <c r="K268" s="353">
        <f t="shared" si="89"/>
        <v>0.60022343639092457</v>
      </c>
      <c r="L268" s="353">
        <f t="shared" si="89"/>
        <v>0.5502681236691096</v>
      </c>
      <c r="M268" s="354">
        <f t="shared" si="89"/>
        <v>0.50031281094729452</v>
      </c>
    </row>
    <row r="269" spans="1:45" ht="11.25" customHeight="1">
      <c r="A269" s="355" t="s">
        <v>96</v>
      </c>
      <c r="B269" s="353"/>
      <c r="C269" s="353"/>
      <c r="D269" s="353"/>
      <c r="E269" s="353"/>
      <c r="F269" s="353"/>
      <c r="G269" s="353"/>
      <c r="H269" s="353"/>
      <c r="I269" s="356"/>
      <c r="J269" s="356"/>
      <c r="K269" s="356"/>
      <c r="L269" s="356"/>
      <c r="M269" s="357"/>
    </row>
    <row r="270" spans="1:45" ht="11.25" customHeight="1">
      <c r="A270" s="358" t="s">
        <v>97</v>
      </c>
      <c r="B270" s="359"/>
      <c r="C270" s="359"/>
      <c r="D270" s="359"/>
      <c r="E270" s="360"/>
      <c r="F270" s="360"/>
      <c r="G270" s="360"/>
      <c r="H270" s="360"/>
      <c r="I270" s="360"/>
      <c r="J270" s="360"/>
      <c r="K270" s="360"/>
      <c r="L270" s="360"/>
      <c r="M270" s="361"/>
    </row>
    <row r="271" spans="1:45" ht="11.25" customHeight="1">
      <c r="A271" s="362" t="s">
        <v>98</v>
      </c>
      <c r="B271" s="363">
        <f>1/(1+EXP($I$261*(B$267-$H$261)))</f>
        <v>0.13315045031854203</v>
      </c>
      <c r="C271" s="363">
        <f>1/(1+EXP($I$261*(C$267-$H$261)))</f>
        <v>0.34873622719217784</v>
      </c>
      <c r="D271" s="363">
        <f>1/(1+EXP($I$261*(D$267-$H$261)))</f>
        <v>0.65117042907674338</v>
      </c>
      <c r="E271" s="363">
        <f>1/(1+EXP($I$261*(E$267-$H$261)))</f>
        <v>0.86680210844277283</v>
      </c>
      <c r="F271" s="363">
        <f>1/(1+EXP($I$261*(F$267-$H$261)))</f>
        <v>0.95778151824577906</v>
      </c>
      <c r="G271" s="363">
        <v>1</v>
      </c>
      <c r="H271" s="363">
        <v>1</v>
      </c>
      <c r="I271" s="363">
        <v>1</v>
      </c>
      <c r="J271" s="363">
        <v>1</v>
      </c>
      <c r="K271" s="363">
        <v>1</v>
      </c>
      <c r="L271" s="363">
        <v>1</v>
      </c>
      <c r="M271" s="364">
        <v>1</v>
      </c>
    </row>
    <row r="272" spans="1:45" ht="11.25" customHeight="1">
      <c r="A272" s="365"/>
      <c r="B272" s="141"/>
      <c r="C272" s="141"/>
      <c r="D272" s="141"/>
      <c r="E272" s="141"/>
      <c r="F272" s="141"/>
      <c r="G272" s="141"/>
      <c r="H272" s="141"/>
      <c r="I272" s="141"/>
      <c r="J272" s="141"/>
      <c r="K272" s="141"/>
      <c r="L272" s="141"/>
      <c r="M272" s="366"/>
    </row>
    <row r="273" spans="1:13" ht="11.25" customHeight="1">
      <c r="A273" s="664" t="s">
        <v>10</v>
      </c>
      <c r="B273" s="704" t="s">
        <v>99</v>
      </c>
      <c r="C273" s="705"/>
      <c r="D273" s="705"/>
      <c r="E273" s="705"/>
      <c r="F273" s="705"/>
      <c r="G273" s="705"/>
      <c r="H273" s="705"/>
      <c r="I273" s="705"/>
      <c r="J273" s="706"/>
      <c r="K273" s="706"/>
      <c r="L273" s="706"/>
      <c r="M273" s="707"/>
    </row>
    <row r="274" spans="1:13" ht="11.25" customHeight="1">
      <c r="A274" s="702">
        <f>first_year</f>
        <v>1978</v>
      </c>
      <c r="B274" s="367">
        <f t="shared" ref="B274:E288" si="90">1/(1+EXP($I$262*(B$267-$H$262)))</f>
        <v>0.29993043279018572</v>
      </c>
      <c r="C274" s="368">
        <f t="shared" si="90"/>
        <v>0.41495182383883616</v>
      </c>
      <c r="D274" s="368">
        <f t="shared" si="90"/>
        <v>0.5400553839868053</v>
      </c>
      <c r="E274" s="368">
        <f t="shared" si="90"/>
        <v>0.66030708747677569</v>
      </c>
      <c r="F274" s="368">
        <v>1</v>
      </c>
      <c r="G274" s="368">
        <v>1</v>
      </c>
      <c r="H274" s="368">
        <v>1</v>
      </c>
      <c r="I274" s="368">
        <v>1</v>
      </c>
      <c r="J274" s="368">
        <v>1</v>
      </c>
      <c r="K274" s="368">
        <v>1</v>
      </c>
      <c r="L274" s="368">
        <v>1</v>
      </c>
      <c r="M274" s="665">
        <v>1</v>
      </c>
    </row>
    <row r="275" spans="1:13" ht="11.25" customHeight="1">
      <c r="A275" s="473">
        <f t="shared" ref="A275:A294" si="91">A274+1</f>
        <v>1979</v>
      </c>
      <c r="B275" s="369">
        <f t="shared" si="90"/>
        <v>0.29993043279018572</v>
      </c>
      <c r="C275" s="141">
        <f t="shared" si="90"/>
        <v>0.41495182383883616</v>
      </c>
      <c r="D275" s="141">
        <f t="shared" si="90"/>
        <v>0.5400553839868053</v>
      </c>
      <c r="E275" s="141">
        <f t="shared" si="90"/>
        <v>0.66030708747677569</v>
      </c>
      <c r="F275" s="141">
        <v>1</v>
      </c>
      <c r="G275" s="141">
        <v>1</v>
      </c>
      <c r="H275" s="141">
        <v>1</v>
      </c>
      <c r="I275" s="141">
        <v>1</v>
      </c>
      <c r="J275" s="141">
        <v>1</v>
      </c>
      <c r="K275" s="141">
        <v>1</v>
      </c>
      <c r="L275" s="141">
        <v>1</v>
      </c>
      <c r="M275" s="603">
        <v>1</v>
      </c>
    </row>
    <row r="276" spans="1:13" ht="11.25" customHeight="1">
      <c r="A276" s="473">
        <f t="shared" si="91"/>
        <v>1980</v>
      </c>
      <c r="B276" s="369">
        <f t="shared" si="90"/>
        <v>0.29993043279018572</v>
      </c>
      <c r="C276" s="141">
        <f t="shared" si="90"/>
        <v>0.41495182383883616</v>
      </c>
      <c r="D276" s="141">
        <f t="shared" si="90"/>
        <v>0.5400553839868053</v>
      </c>
      <c r="E276" s="141">
        <f t="shared" si="90"/>
        <v>0.66030708747677569</v>
      </c>
      <c r="F276" s="141">
        <v>1</v>
      </c>
      <c r="G276" s="141">
        <v>1</v>
      </c>
      <c r="H276" s="141">
        <v>1</v>
      </c>
      <c r="I276" s="141">
        <v>1</v>
      </c>
      <c r="J276" s="141">
        <v>1</v>
      </c>
      <c r="K276" s="141">
        <v>1</v>
      </c>
      <c r="L276" s="141">
        <v>1</v>
      </c>
      <c r="M276" s="603">
        <v>1</v>
      </c>
    </row>
    <row r="277" spans="1:13" ht="11.25" customHeight="1">
      <c r="A277" s="473">
        <f t="shared" si="91"/>
        <v>1981</v>
      </c>
      <c r="B277" s="369">
        <f t="shared" si="90"/>
        <v>0.29993043279018572</v>
      </c>
      <c r="C277" s="141">
        <f t="shared" si="90"/>
        <v>0.41495182383883616</v>
      </c>
      <c r="D277" s="141">
        <f t="shared" si="90"/>
        <v>0.5400553839868053</v>
      </c>
      <c r="E277" s="141">
        <f t="shared" si="90"/>
        <v>0.66030708747677569</v>
      </c>
      <c r="F277" s="141">
        <v>1</v>
      </c>
      <c r="G277" s="141">
        <v>1</v>
      </c>
      <c r="H277" s="141">
        <v>1</v>
      </c>
      <c r="I277" s="141">
        <v>1</v>
      </c>
      <c r="J277" s="141">
        <v>1</v>
      </c>
      <c r="K277" s="141">
        <v>1</v>
      </c>
      <c r="L277" s="141">
        <v>1</v>
      </c>
      <c r="M277" s="603">
        <v>1</v>
      </c>
    </row>
    <row r="278" spans="1:13" ht="11.25" customHeight="1">
      <c r="A278" s="579">
        <f t="shared" si="91"/>
        <v>1982</v>
      </c>
      <c r="B278" s="369">
        <f t="shared" si="90"/>
        <v>0.29993043279018572</v>
      </c>
      <c r="C278" s="141">
        <f t="shared" si="90"/>
        <v>0.41495182383883616</v>
      </c>
      <c r="D278" s="141">
        <f t="shared" si="90"/>
        <v>0.5400553839868053</v>
      </c>
      <c r="E278" s="141">
        <f t="shared" si="90"/>
        <v>0.66030708747677569</v>
      </c>
      <c r="F278" s="141">
        <v>1</v>
      </c>
      <c r="G278" s="141">
        <v>1</v>
      </c>
      <c r="H278" s="141">
        <v>1</v>
      </c>
      <c r="I278" s="141">
        <v>1</v>
      </c>
      <c r="J278" s="141">
        <v>1</v>
      </c>
      <c r="K278" s="141">
        <v>1</v>
      </c>
      <c r="L278" s="141">
        <v>1</v>
      </c>
      <c r="M278" s="603">
        <v>1</v>
      </c>
    </row>
    <row r="279" spans="1:13" ht="11.25" customHeight="1">
      <c r="A279" s="579">
        <f t="shared" si="91"/>
        <v>1983</v>
      </c>
      <c r="B279" s="369">
        <f t="shared" si="90"/>
        <v>0.29993043279018572</v>
      </c>
      <c r="C279" s="141">
        <f t="shared" si="90"/>
        <v>0.41495182383883616</v>
      </c>
      <c r="D279" s="141">
        <f t="shared" si="90"/>
        <v>0.5400553839868053</v>
      </c>
      <c r="E279" s="141">
        <f t="shared" si="90"/>
        <v>0.66030708747677569</v>
      </c>
      <c r="F279" s="141">
        <v>1</v>
      </c>
      <c r="G279" s="141">
        <v>1</v>
      </c>
      <c r="H279" s="141">
        <v>1</v>
      </c>
      <c r="I279" s="141">
        <v>1</v>
      </c>
      <c r="J279" s="141">
        <v>1</v>
      </c>
      <c r="K279" s="141">
        <v>1</v>
      </c>
      <c r="L279" s="141">
        <v>1</v>
      </c>
      <c r="M279" s="603">
        <v>1</v>
      </c>
    </row>
    <row r="280" spans="1:13" ht="11.25" customHeight="1">
      <c r="A280" s="579">
        <f t="shared" si="91"/>
        <v>1984</v>
      </c>
      <c r="B280" s="369">
        <f t="shared" si="90"/>
        <v>0.29993043279018572</v>
      </c>
      <c r="C280" s="141">
        <f t="shared" si="90"/>
        <v>0.41495182383883616</v>
      </c>
      <c r="D280" s="141">
        <f t="shared" si="90"/>
        <v>0.5400553839868053</v>
      </c>
      <c r="E280" s="141">
        <f t="shared" si="90"/>
        <v>0.66030708747677569</v>
      </c>
      <c r="F280" s="141">
        <v>1</v>
      </c>
      <c r="G280" s="141">
        <v>1</v>
      </c>
      <c r="H280" s="141">
        <v>1</v>
      </c>
      <c r="I280" s="141">
        <v>1</v>
      </c>
      <c r="J280" s="141">
        <v>1</v>
      </c>
      <c r="K280" s="141">
        <v>1</v>
      </c>
      <c r="L280" s="141">
        <v>1</v>
      </c>
      <c r="M280" s="603">
        <v>1</v>
      </c>
    </row>
    <row r="281" spans="1:13" ht="11.25" customHeight="1">
      <c r="A281" s="579">
        <f t="shared" si="91"/>
        <v>1985</v>
      </c>
      <c r="B281" s="369">
        <f t="shared" si="90"/>
        <v>0.29993043279018572</v>
      </c>
      <c r="C281" s="141">
        <f t="shared" si="90"/>
        <v>0.41495182383883616</v>
      </c>
      <c r="D281" s="141">
        <f t="shared" si="90"/>
        <v>0.5400553839868053</v>
      </c>
      <c r="E281" s="141">
        <f t="shared" si="90"/>
        <v>0.66030708747677569</v>
      </c>
      <c r="F281" s="141">
        <v>1</v>
      </c>
      <c r="G281" s="141">
        <v>1</v>
      </c>
      <c r="H281" s="141">
        <v>1</v>
      </c>
      <c r="I281" s="141">
        <v>1</v>
      </c>
      <c r="J281" s="141">
        <v>1</v>
      </c>
      <c r="K281" s="141">
        <v>1</v>
      </c>
      <c r="L281" s="141">
        <v>1</v>
      </c>
      <c r="M281" s="603">
        <v>1</v>
      </c>
    </row>
    <row r="282" spans="1:13" ht="11.25" customHeight="1">
      <c r="A282" s="473">
        <f t="shared" si="91"/>
        <v>1986</v>
      </c>
      <c r="B282" s="369">
        <f t="shared" si="90"/>
        <v>0.29993043279018572</v>
      </c>
      <c r="C282" s="141">
        <f t="shared" si="90"/>
        <v>0.41495182383883616</v>
      </c>
      <c r="D282" s="141">
        <f t="shared" si="90"/>
        <v>0.5400553839868053</v>
      </c>
      <c r="E282" s="141">
        <f t="shared" si="90"/>
        <v>0.66030708747677569</v>
      </c>
      <c r="F282" s="141">
        <v>1</v>
      </c>
      <c r="G282" s="141">
        <v>1</v>
      </c>
      <c r="H282" s="141">
        <v>1</v>
      </c>
      <c r="I282" s="141">
        <v>1</v>
      </c>
      <c r="J282" s="141">
        <v>1</v>
      </c>
      <c r="K282" s="141">
        <v>1</v>
      </c>
      <c r="L282" s="141">
        <v>1</v>
      </c>
      <c r="M282" s="603">
        <v>1</v>
      </c>
    </row>
    <row r="283" spans="1:13" ht="11.25" customHeight="1">
      <c r="A283" s="473">
        <f t="shared" si="91"/>
        <v>1987</v>
      </c>
      <c r="B283" s="369">
        <f t="shared" si="90"/>
        <v>0.29993043279018572</v>
      </c>
      <c r="C283" s="141">
        <f t="shared" si="90"/>
        <v>0.41495182383883616</v>
      </c>
      <c r="D283" s="141">
        <f t="shared" si="90"/>
        <v>0.5400553839868053</v>
      </c>
      <c r="E283" s="141">
        <f t="shared" si="90"/>
        <v>0.66030708747677569</v>
      </c>
      <c r="F283" s="141">
        <v>1</v>
      </c>
      <c r="G283" s="141">
        <v>1</v>
      </c>
      <c r="H283" s="141">
        <v>1</v>
      </c>
      <c r="I283" s="141">
        <v>1</v>
      </c>
      <c r="J283" s="141">
        <v>1</v>
      </c>
      <c r="K283" s="141">
        <v>1</v>
      </c>
      <c r="L283" s="141">
        <v>1</v>
      </c>
      <c r="M283" s="603">
        <v>1</v>
      </c>
    </row>
    <row r="284" spans="1:13" ht="11.25" customHeight="1">
      <c r="A284" s="473">
        <f t="shared" si="91"/>
        <v>1988</v>
      </c>
      <c r="B284" s="369">
        <f t="shared" si="90"/>
        <v>0.29993043279018572</v>
      </c>
      <c r="C284" s="141">
        <f t="shared" si="90"/>
        <v>0.41495182383883616</v>
      </c>
      <c r="D284" s="141">
        <f t="shared" si="90"/>
        <v>0.5400553839868053</v>
      </c>
      <c r="E284" s="141">
        <f t="shared" si="90"/>
        <v>0.66030708747677569</v>
      </c>
      <c r="F284" s="141">
        <v>1</v>
      </c>
      <c r="G284" s="141">
        <v>1</v>
      </c>
      <c r="H284" s="141">
        <v>1</v>
      </c>
      <c r="I284" s="141">
        <v>1</v>
      </c>
      <c r="J284" s="141">
        <v>1</v>
      </c>
      <c r="K284" s="141">
        <v>1</v>
      </c>
      <c r="L284" s="141">
        <v>1</v>
      </c>
      <c r="M284" s="603">
        <v>1</v>
      </c>
    </row>
    <row r="285" spans="1:13" ht="11.25" customHeight="1">
      <c r="A285" s="473">
        <f t="shared" si="91"/>
        <v>1989</v>
      </c>
      <c r="B285" s="369">
        <f t="shared" si="90"/>
        <v>0.29993043279018572</v>
      </c>
      <c r="C285" s="141">
        <f t="shared" si="90"/>
        <v>0.41495182383883616</v>
      </c>
      <c r="D285" s="141">
        <f t="shared" si="90"/>
        <v>0.5400553839868053</v>
      </c>
      <c r="E285" s="141">
        <f t="shared" si="90"/>
        <v>0.66030708747677569</v>
      </c>
      <c r="F285" s="141">
        <v>1</v>
      </c>
      <c r="G285" s="141">
        <v>1</v>
      </c>
      <c r="H285" s="141">
        <v>1</v>
      </c>
      <c r="I285" s="141">
        <v>1</v>
      </c>
      <c r="J285" s="141">
        <v>1</v>
      </c>
      <c r="K285" s="141">
        <v>1</v>
      </c>
      <c r="L285" s="141">
        <v>1</v>
      </c>
      <c r="M285" s="603">
        <v>1</v>
      </c>
    </row>
    <row r="286" spans="1:13" ht="11.25" customHeight="1">
      <c r="A286" s="473">
        <f t="shared" si="91"/>
        <v>1990</v>
      </c>
      <c r="B286" s="369">
        <f t="shared" si="90"/>
        <v>0.29993043279018572</v>
      </c>
      <c r="C286" s="141">
        <f t="shared" si="90"/>
        <v>0.41495182383883616</v>
      </c>
      <c r="D286" s="141">
        <f t="shared" si="90"/>
        <v>0.5400553839868053</v>
      </c>
      <c r="E286" s="141">
        <f t="shared" si="90"/>
        <v>0.66030708747677569</v>
      </c>
      <c r="F286" s="141">
        <v>1</v>
      </c>
      <c r="G286" s="141">
        <v>1</v>
      </c>
      <c r="H286" s="141">
        <v>1</v>
      </c>
      <c r="I286" s="141">
        <v>1</v>
      </c>
      <c r="J286" s="141">
        <v>1</v>
      </c>
      <c r="K286" s="141">
        <v>1</v>
      </c>
      <c r="L286" s="141">
        <v>1</v>
      </c>
      <c r="M286" s="603">
        <v>1</v>
      </c>
    </row>
    <row r="287" spans="1:13" ht="11.25" customHeight="1">
      <c r="A287" s="473">
        <f t="shared" si="91"/>
        <v>1991</v>
      </c>
      <c r="B287" s="369">
        <f t="shared" si="90"/>
        <v>0.29993043279018572</v>
      </c>
      <c r="C287" s="141">
        <f t="shared" si="90"/>
        <v>0.41495182383883616</v>
      </c>
      <c r="D287" s="141">
        <f t="shared" si="90"/>
        <v>0.5400553839868053</v>
      </c>
      <c r="E287" s="141">
        <f t="shared" si="90"/>
        <v>0.66030708747677569</v>
      </c>
      <c r="F287" s="141">
        <v>1</v>
      </c>
      <c r="G287" s="141">
        <v>1</v>
      </c>
      <c r="H287" s="141">
        <v>1</v>
      </c>
      <c r="I287" s="141">
        <v>1</v>
      </c>
      <c r="J287" s="141">
        <v>1</v>
      </c>
      <c r="K287" s="141">
        <v>1</v>
      </c>
      <c r="L287" s="141">
        <v>1</v>
      </c>
      <c r="M287" s="603">
        <v>1</v>
      </c>
    </row>
    <row r="288" spans="1:13" ht="11.25" customHeight="1">
      <c r="A288" s="473">
        <f t="shared" si="91"/>
        <v>1992</v>
      </c>
      <c r="B288" s="369">
        <f t="shared" si="90"/>
        <v>0.29993043279018572</v>
      </c>
      <c r="C288" s="141">
        <f t="shared" si="90"/>
        <v>0.41495182383883616</v>
      </c>
      <c r="D288" s="141">
        <f t="shared" si="90"/>
        <v>0.5400553839868053</v>
      </c>
      <c r="E288" s="141">
        <f t="shared" si="90"/>
        <v>0.66030708747677569</v>
      </c>
      <c r="F288" s="141">
        <v>1</v>
      </c>
      <c r="G288" s="141">
        <v>1</v>
      </c>
      <c r="H288" s="141">
        <v>1</v>
      </c>
      <c r="I288" s="141">
        <v>1</v>
      </c>
      <c r="J288" s="141">
        <v>1</v>
      </c>
      <c r="K288" s="141">
        <v>1</v>
      </c>
      <c r="L288" s="141">
        <v>1</v>
      </c>
      <c r="M288" s="603">
        <v>1</v>
      </c>
    </row>
    <row r="289" spans="1:14" ht="11.25" customHeight="1">
      <c r="A289" s="473">
        <f t="shared" si="91"/>
        <v>1993</v>
      </c>
      <c r="B289" s="369">
        <f t="shared" ref="B289:E312" si="92">1/(1+EXP($I$263*(B$267-$H$263)))</f>
        <v>0.1999990379694522</v>
      </c>
      <c r="C289" s="141">
        <f t="shared" si="92"/>
        <v>0.418761801611156</v>
      </c>
      <c r="D289" s="141">
        <f t="shared" si="92"/>
        <v>0.67493332641121606</v>
      </c>
      <c r="E289" s="141">
        <f t="shared" si="92"/>
        <v>0.85680776898646638</v>
      </c>
      <c r="F289" s="141">
        <v>1</v>
      </c>
      <c r="G289" s="141">
        <v>1</v>
      </c>
      <c r="H289" s="141">
        <v>1</v>
      </c>
      <c r="I289" s="141">
        <v>1</v>
      </c>
      <c r="J289" s="141">
        <v>1</v>
      </c>
      <c r="K289" s="141">
        <v>1</v>
      </c>
      <c r="L289" s="141">
        <v>1</v>
      </c>
      <c r="M289" s="603">
        <v>1</v>
      </c>
    </row>
    <row r="290" spans="1:14" ht="11.25" customHeight="1">
      <c r="A290" s="473">
        <f t="shared" si="91"/>
        <v>1994</v>
      </c>
      <c r="B290" s="369">
        <f t="shared" si="92"/>
        <v>0.1999990379694522</v>
      </c>
      <c r="C290" s="141">
        <f t="shared" si="92"/>
        <v>0.418761801611156</v>
      </c>
      <c r="D290" s="141">
        <f t="shared" si="92"/>
        <v>0.67493332641121606</v>
      </c>
      <c r="E290" s="141">
        <f t="shared" si="92"/>
        <v>0.85680776898646638</v>
      </c>
      <c r="F290" s="141">
        <v>1</v>
      </c>
      <c r="G290" s="141">
        <v>1</v>
      </c>
      <c r="H290" s="141">
        <v>1</v>
      </c>
      <c r="I290" s="141">
        <v>1</v>
      </c>
      <c r="J290" s="141">
        <v>1</v>
      </c>
      <c r="K290" s="141">
        <v>1</v>
      </c>
      <c r="L290" s="141">
        <v>1</v>
      </c>
      <c r="M290" s="603">
        <v>1</v>
      </c>
    </row>
    <row r="291" spans="1:14" ht="11.25" customHeight="1">
      <c r="A291" s="473">
        <f t="shared" si="91"/>
        <v>1995</v>
      </c>
      <c r="B291" s="369">
        <f t="shared" si="92"/>
        <v>0.1999990379694522</v>
      </c>
      <c r="C291" s="141">
        <f t="shared" si="92"/>
        <v>0.418761801611156</v>
      </c>
      <c r="D291" s="141">
        <f t="shared" si="92"/>
        <v>0.67493332641121606</v>
      </c>
      <c r="E291" s="141">
        <f t="shared" si="92"/>
        <v>0.85680776898646638</v>
      </c>
      <c r="F291" s="141">
        <v>1</v>
      </c>
      <c r="G291" s="141">
        <v>1</v>
      </c>
      <c r="H291" s="141">
        <v>1</v>
      </c>
      <c r="I291" s="141">
        <v>1</v>
      </c>
      <c r="J291" s="141">
        <v>1</v>
      </c>
      <c r="K291" s="141">
        <v>1</v>
      </c>
      <c r="L291" s="141">
        <v>1</v>
      </c>
      <c r="M291" s="603">
        <v>1</v>
      </c>
    </row>
    <row r="292" spans="1:14" ht="11.25" customHeight="1">
      <c r="A292" s="473">
        <f t="shared" si="91"/>
        <v>1996</v>
      </c>
      <c r="B292" s="369">
        <f t="shared" si="92"/>
        <v>0.1999990379694522</v>
      </c>
      <c r="C292" s="141">
        <f t="shared" si="92"/>
        <v>0.418761801611156</v>
      </c>
      <c r="D292" s="141">
        <f t="shared" si="92"/>
        <v>0.67493332641121606</v>
      </c>
      <c r="E292" s="141">
        <f t="shared" si="92"/>
        <v>0.85680776898646638</v>
      </c>
      <c r="F292" s="141">
        <v>1</v>
      </c>
      <c r="G292" s="141">
        <v>1</v>
      </c>
      <c r="H292" s="141">
        <v>1</v>
      </c>
      <c r="I292" s="141">
        <v>1</v>
      </c>
      <c r="J292" s="141">
        <v>1</v>
      </c>
      <c r="K292" s="141">
        <v>1</v>
      </c>
      <c r="L292" s="141">
        <v>1</v>
      </c>
      <c r="M292" s="603">
        <v>1</v>
      </c>
    </row>
    <row r="293" spans="1:14" ht="11.25" customHeight="1">
      <c r="A293" s="473">
        <f t="shared" si="91"/>
        <v>1997</v>
      </c>
      <c r="B293" s="369">
        <f t="shared" si="92"/>
        <v>0.1999990379694522</v>
      </c>
      <c r="C293" s="141">
        <f t="shared" si="92"/>
        <v>0.418761801611156</v>
      </c>
      <c r="D293" s="141">
        <f t="shared" si="92"/>
        <v>0.67493332641121606</v>
      </c>
      <c r="E293" s="141">
        <f t="shared" si="92"/>
        <v>0.85680776898646638</v>
      </c>
      <c r="F293" s="141">
        <v>1</v>
      </c>
      <c r="G293" s="141">
        <v>1</v>
      </c>
      <c r="H293" s="141">
        <v>1</v>
      </c>
      <c r="I293" s="141">
        <v>1</v>
      </c>
      <c r="J293" s="141">
        <v>1</v>
      </c>
      <c r="K293" s="141">
        <v>1</v>
      </c>
      <c r="L293" s="141">
        <v>1</v>
      </c>
      <c r="M293" s="603">
        <v>1</v>
      </c>
    </row>
    <row r="294" spans="1:14" ht="11.25" customHeight="1">
      <c r="A294" s="473">
        <f t="shared" si="91"/>
        <v>1998</v>
      </c>
      <c r="B294" s="369">
        <f t="shared" si="92"/>
        <v>0.1999990379694522</v>
      </c>
      <c r="C294" s="141">
        <f t="shared" si="92"/>
        <v>0.418761801611156</v>
      </c>
      <c r="D294" s="141">
        <f t="shared" si="92"/>
        <v>0.67493332641121606</v>
      </c>
      <c r="E294" s="141">
        <f t="shared" si="92"/>
        <v>0.85680776898646638</v>
      </c>
      <c r="F294" s="141">
        <v>1</v>
      </c>
      <c r="G294" s="141">
        <v>1</v>
      </c>
      <c r="H294" s="141">
        <v>1</v>
      </c>
      <c r="I294" s="141">
        <v>1</v>
      </c>
      <c r="J294" s="141">
        <v>1</v>
      </c>
      <c r="K294" s="141">
        <v>1</v>
      </c>
      <c r="L294" s="141">
        <v>1</v>
      </c>
      <c r="M294" s="603">
        <v>1</v>
      </c>
    </row>
    <row r="295" spans="1:14" ht="11.25" customHeight="1">
      <c r="A295" s="473">
        <v>1999</v>
      </c>
      <c r="B295" s="369">
        <f t="shared" si="92"/>
        <v>0.1999990379694522</v>
      </c>
      <c r="C295" s="141">
        <f t="shared" si="92"/>
        <v>0.418761801611156</v>
      </c>
      <c r="D295" s="141">
        <f t="shared" si="92"/>
        <v>0.67493332641121606</v>
      </c>
      <c r="E295" s="141">
        <f t="shared" si="92"/>
        <v>0.85680776898646638</v>
      </c>
      <c r="F295" s="141">
        <v>1</v>
      </c>
      <c r="G295" s="141">
        <v>1</v>
      </c>
      <c r="H295" s="141">
        <v>1</v>
      </c>
      <c r="I295" s="141">
        <v>1</v>
      </c>
      <c r="J295" s="141">
        <v>1</v>
      </c>
      <c r="K295" s="141">
        <v>1</v>
      </c>
      <c r="L295" s="141">
        <v>1</v>
      </c>
      <c r="M295" s="603">
        <v>1</v>
      </c>
    </row>
    <row r="296" spans="1:14" ht="11.25" customHeight="1">
      <c r="A296" s="473">
        <v>2000</v>
      </c>
      <c r="B296" s="369">
        <f t="shared" si="92"/>
        <v>0.1999990379694522</v>
      </c>
      <c r="C296" s="141">
        <f t="shared" si="92"/>
        <v>0.418761801611156</v>
      </c>
      <c r="D296" s="141">
        <f t="shared" si="92"/>
        <v>0.67493332641121606</v>
      </c>
      <c r="E296" s="141">
        <f t="shared" si="92"/>
        <v>0.85680776898646638</v>
      </c>
      <c r="F296" s="141">
        <v>1</v>
      </c>
      <c r="G296" s="141">
        <v>1</v>
      </c>
      <c r="H296" s="141">
        <v>1</v>
      </c>
      <c r="I296" s="141">
        <v>1</v>
      </c>
      <c r="J296" s="141">
        <v>1</v>
      </c>
      <c r="K296" s="141">
        <v>1</v>
      </c>
      <c r="L296" s="141">
        <v>1</v>
      </c>
      <c r="M296" s="603">
        <v>1</v>
      </c>
    </row>
    <row r="297" spans="1:14" ht="11.25" customHeight="1">
      <c r="A297" s="473">
        <v>2001</v>
      </c>
      <c r="B297" s="369">
        <f t="shared" si="92"/>
        <v>0.1999990379694522</v>
      </c>
      <c r="C297" s="141">
        <f t="shared" si="92"/>
        <v>0.418761801611156</v>
      </c>
      <c r="D297" s="141">
        <f t="shared" si="92"/>
        <v>0.67493332641121606</v>
      </c>
      <c r="E297" s="141">
        <f t="shared" si="92"/>
        <v>0.85680776898646638</v>
      </c>
      <c r="F297" s="141">
        <v>1</v>
      </c>
      <c r="G297" s="141">
        <v>1</v>
      </c>
      <c r="H297" s="141">
        <v>1</v>
      </c>
      <c r="I297" s="141">
        <v>1</v>
      </c>
      <c r="J297" s="141">
        <v>1</v>
      </c>
      <c r="K297" s="141">
        <v>1</v>
      </c>
      <c r="L297" s="141">
        <v>1</v>
      </c>
      <c r="M297" s="603">
        <v>1</v>
      </c>
    </row>
    <row r="298" spans="1:14" ht="11.25" customHeight="1">
      <c r="A298" s="473">
        <v>2002</v>
      </c>
      <c r="B298" s="369">
        <f t="shared" si="92"/>
        <v>0.1999990379694522</v>
      </c>
      <c r="C298" s="141">
        <f t="shared" si="92"/>
        <v>0.418761801611156</v>
      </c>
      <c r="D298" s="141">
        <f t="shared" si="92"/>
        <v>0.67493332641121606</v>
      </c>
      <c r="E298" s="141">
        <f t="shared" si="92"/>
        <v>0.85680776898646638</v>
      </c>
      <c r="F298" s="141">
        <v>1</v>
      </c>
      <c r="G298" s="141">
        <v>1</v>
      </c>
      <c r="H298" s="141">
        <v>1</v>
      </c>
      <c r="I298" s="141">
        <v>1</v>
      </c>
      <c r="J298" s="141">
        <v>1</v>
      </c>
      <c r="K298" s="141">
        <v>1</v>
      </c>
      <c r="L298" s="141">
        <v>1</v>
      </c>
      <c r="M298" s="603">
        <v>1</v>
      </c>
    </row>
    <row r="299" spans="1:14" ht="11.25" customHeight="1">
      <c r="A299" s="473">
        <v>2003</v>
      </c>
      <c r="B299" s="369">
        <f t="shared" si="92"/>
        <v>0.1999990379694522</v>
      </c>
      <c r="C299" s="141">
        <f t="shared" si="92"/>
        <v>0.418761801611156</v>
      </c>
      <c r="D299" s="141">
        <f t="shared" si="92"/>
        <v>0.67493332641121606</v>
      </c>
      <c r="E299" s="141">
        <f t="shared" si="92"/>
        <v>0.85680776898646638</v>
      </c>
      <c r="F299" s="141">
        <v>1</v>
      </c>
      <c r="G299" s="141">
        <v>1</v>
      </c>
      <c r="H299" s="141">
        <v>1</v>
      </c>
      <c r="I299" s="141">
        <v>1</v>
      </c>
      <c r="J299" s="141">
        <v>1</v>
      </c>
      <c r="K299" s="141">
        <v>1</v>
      </c>
      <c r="L299" s="141">
        <v>1</v>
      </c>
      <c r="M299" s="603">
        <v>1</v>
      </c>
    </row>
    <row r="300" spans="1:14" ht="11.25" customHeight="1">
      <c r="A300" s="473">
        <v>2004</v>
      </c>
      <c r="B300" s="369">
        <f t="shared" si="92"/>
        <v>0.1999990379694522</v>
      </c>
      <c r="C300" s="141">
        <f t="shared" si="92"/>
        <v>0.418761801611156</v>
      </c>
      <c r="D300" s="141">
        <f t="shared" si="92"/>
        <v>0.67493332641121606</v>
      </c>
      <c r="E300" s="141">
        <f t="shared" si="92"/>
        <v>0.85680776898646638</v>
      </c>
      <c r="F300" s="141">
        <v>1</v>
      </c>
      <c r="G300" s="141">
        <v>1</v>
      </c>
      <c r="H300" s="141">
        <v>1</v>
      </c>
      <c r="I300" s="141">
        <v>1</v>
      </c>
      <c r="J300" s="141">
        <v>1</v>
      </c>
      <c r="K300" s="141">
        <v>1</v>
      </c>
      <c r="L300" s="141">
        <v>1</v>
      </c>
      <c r="M300" s="603">
        <v>1</v>
      </c>
    </row>
    <row r="301" spans="1:14" ht="11.25" customHeight="1">
      <c r="A301" s="473">
        <v>2005</v>
      </c>
      <c r="B301" s="369">
        <f t="shared" si="92"/>
        <v>0.1999990379694522</v>
      </c>
      <c r="C301" s="141">
        <f t="shared" si="92"/>
        <v>0.418761801611156</v>
      </c>
      <c r="D301" s="141">
        <f t="shared" si="92"/>
        <v>0.67493332641121606</v>
      </c>
      <c r="E301" s="141">
        <f t="shared" si="92"/>
        <v>0.85680776898646638</v>
      </c>
      <c r="F301" s="141">
        <v>1</v>
      </c>
      <c r="G301" s="141">
        <v>1</v>
      </c>
      <c r="H301" s="141">
        <v>1</v>
      </c>
      <c r="I301" s="141">
        <v>1</v>
      </c>
      <c r="J301" s="141">
        <v>1</v>
      </c>
      <c r="K301" s="141">
        <v>1</v>
      </c>
      <c r="L301" s="141">
        <v>1</v>
      </c>
      <c r="M301" s="603">
        <v>1</v>
      </c>
      <c r="N301" s="494"/>
    </row>
    <row r="302" spans="1:14" ht="11.25" customHeight="1">
      <c r="A302" s="473">
        <v>2006</v>
      </c>
      <c r="B302" s="369">
        <f t="shared" si="92"/>
        <v>0.1999990379694522</v>
      </c>
      <c r="C302" s="141">
        <f t="shared" si="92"/>
        <v>0.418761801611156</v>
      </c>
      <c r="D302" s="141">
        <f t="shared" si="92"/>
        <v>0.67493332641121606</v>
      </c>
      <c r="E302" s="141">
        <f t="shared" si="92"/>
        <v>0.85680776898646638</v>
      </c>
      <c r="F302" s="141">
        <v>1</v>
      </c>
      <c r="G302" s="141">
        <v>1</v>
      </c>
      <c r="H302" s="141">
        <v>1</v>
      </c>
      <c r="I302" s="141">
        <v>1</v>
      </c>
      <c r="J302" s="141">
        <v>1</v>
      </c>
      <c r="K302" s="141">
        <v>1</v>
      </c>
      <c r="L302" s="141">
        <v>1</v>
      </c>
      <c r="M302" s="603">
        <v>1</v>
      </c>
      <c r="N302" s="494"/>
    </row>
    <row r="303" spans="1:14" ht="11.25" customHeight="1">
      <c r="A303" s="473">
        <v>2007</v>
      </c>
      <c r="B303" s="369">
        <f t="shared" ref="B303:B312" si="93">1/(1+EXP($I$263*(B$267-$H$263)))</f>
        <v>0.1999990379694522</v>
      </c>
      <c r="C303" s="141">
        <f t="shared" si="92"/>
        <v>0.418761801611156</v>
      </c>
      <c r="D303" s="141">
        <f t="shared" si="92"/>
        <v>0.67493332641121606</v>
      </c>
      <c r="E303" s="141">
        <f t="shared" si="92"/>
        <v>0.85680776898646638</v>
      </c>
      <c r="F303" s="141">
        <v>1</v>
      </c>
      <c r="G303" s="141">
        <v>1</v>
      </c>
      <c r="H303" s="141">
        <v>1</v>
      </c>
      <c r="I303" s="141">
        <v>1</v>
      </c>
      <c r="J303" s="141">
        <v>1</v>
      </c>
      <c r="K303" s="141">
        <v>1</v>
      </c>
      <c r="L303" s="141">
        <v>1</v>
      </c>
      <c r="M303" s="603">
        <v>1</v>
      </c>
      <c r="N303" s="494"/>
    </row>
    <row r="304" spans="1:14" ht="11.25" customHeight="1">
      <c r="A304" s="473">
        <v>2008</v>
      </c>
      <c r="B304" s="369">
        <f t="shared" si="93"/>
        <v>0.1999990379694522</v>
      </c>
      <c r="C304" s="141">
        <f t="shared" si="92"/>
        <v>0.418761801611156</v>
      </c>
      <c r="D304" s="141">
        <f t="shared" si="92"/>
        <v>0.67493332641121606</v>
      </c>
      <c r="E304" s="141">
        <f t="shared" si="92"/>
        <v>0.85680776898646638</v>
      </c>
      <c r="F304" s="141">
        <v>1</v>
      </c>
      <c r="G304" s="141">
        <v>1</v>
      </c>
      <c r="H304" s="141">
        <v>1</v>
      </c>
      <c r="I304" s="141">
        <v>1</v>
      </c>
      <c r="J304" s="141">
        <v>1</v>
      </c>
      <c r="K304" s="141">
        <v>1</v>
      </c>
      <c r="L304" s="141">
        <v>1</v>
      </c>
      <c r="M304" s="603">
        <v>1</v>
      </c>
      <c r="N304" s="494"/>
    </row>
    <row r="305" spans="1:31" ht="11.25" customHeight="1">
      <c r="A305" s="473">
        <v>2009</v>
      </c>
      <c r="B305" s="369">
        <f t="shared" si="93"/>
        <v>0.1999990379694522</v>
      </c>
      <c r="C305" s="141">
        <f t="shared" si="92"/>
        <v>0.418761801611156</v>
      </c>
      <c r="D305" s="141">
        <f t="shared" si="92"/>
        <v>0.67493332641121606</v>
      </c>
      <c r="E305" s="141">
        <f t="shared" si="92"/>
        <v>0.85680776898646638</v>
      </c>
      <c r="F305" s="141">
        <v>1</v>
      </c>
      <c r="G305" s="141">
        <v>1</v>
      </c>
      <c r="H305" s="141">
        <v>1</v>
      </c>
      <c r="I305" s="141">
        <v>1</v>
      </c>
      <c r="J305" s="141">
        <v>1</v>
      </c>
      <c r="K305" s="141">
        <v>1</v>
      </c>
      <c r="L305" s="141">
        <v>1</v>
      </c>
      <c r="M305" s="603">
        <v>1</v>
      </c>
      <c r="N305" s="494"/>
    </row>
    <row r="306" spans="1:31" ht="11.25" customHeight="1">
      <c r="A306" s="473">
        <f t="shared" ref="A306:A312" si="94">A305+1</f>
        <v>2010</v>
      </c>
      <c r="B306" s="369">
        <f t="shared" si="93"/>
        <v>0.1999990379694522</v>
      </c>
      <c r="C306" s="141">
        <f t="shared" si="92"/>
        <v>0.418761801611156</v>
      </c>
      <c r="D306" s="141">
        <f t="shared" si="92"/>
        <v>0.67493332641121606</v>
      </c>
      <c r="E306" s="141">
        <f t="shared" si="92"/>
        <v>0.85680776898646638</v>
      </c>
      <c r="F306" s="141">
        <v>1</v>
      </c>
      <c r="G306" s="141">
        <v>1</v>
      </c>
      <c r="H306" s="141">
        <v>1</v>
      </c>
      <c r="I306" s="141">
        <v>1</v>
      </c>
      <c r="J306" s="141">
        <v>1</v>
      </c>
      <c r="K306" s="141">
        <v>1</v>
      </c>
      <c r="L306" s="141">
        <v>1</v>
      </c>
      <c r="M306" s="603">
        <v>1</v>
      </c>
      <c r="N306" s="494"/>
    </row>
    <row r="307" spans="1:31" ht="11.25" customHeight="1">
      <c r="A307" s="473">
        <f t="shared" si="94"/>
        <v>2011</v>
      </c>
      <c r="B307" s="369">
        <f t="shared" si="93"/>
        <v>0.1999990379694522</v>
      </c>
      <c r="C307" s="141">
        <f t="shared" si="92"/>
        <v>0.418761801611156</v>
      </c>
      <c r="D307" s="141">
        <f t="shared" si="92"/>
        <v>0.67493332641121606</v>
      </c>
      <c r="E307" s="141">
        <f t="shared" si="92"/>
        <v>0.85680776898646638</v>
      </c>
      <c r="F307" s="141">
        <v>1</v>
      </c>
      <c r="G307" s="141">
        <v>1</v>
      </c>
      <c r="H307" s="141">
        <v>1</v>
      </c>
      <c r="I307" s="141">
        <v>1</v>
      </c>
      <c r="J307" s="141">
        <v>1</v>
      </c>
      <c r="K307" s="141">
        <v>1</v>
      </c>
      <c r="L307" s="141">
        <v>1</v>
      </c>
      <c r="M307" s="603">
        <v>1</v>
      </c>
      <c r="N307" s="494"/>
    </row>
    <row r="308" spans="1:31" ht="11.25" customHeight="1">
      <c r="A308" s="473">
        <f t="shared" si="94"/>
        <v>2012</v>
      </c>
      <c r="B308" s="369">
        <f t="shared" si="93"/>
        <v>0.1999990379694522</v>
      </c>
      <c r="C308" s="141">
        <f t="shared" si="92"/>
        <v>0.418761801611156</v>
      </c>
      <c r="D308" s="141">
        <f t="shared" si="92"/>
        <v>0.67493332641121606</v>
      </c>
      <c r="E308" s="141">
        <f t="shared" si="92"/>
        <v>0.85680776898646638</v>
      </c>
      <c r="F308" s="141">
        <v>1</v>
      </c>
      <c r="G308" s="141">
        <v>1</v>
      </c>
      <c r="H308" s="141">
        <v>1</v>
      </c>
      <c r="I308" s="141">
        <v>1</v>
      </c>
      <c r="J308" s="141">
        <v>1</v>
      </c>
      <c r="K308" s="141">
        <v>1</v>
      </c>
      <c r="L308" s="141">
        <v>1</v>
      </c>
      <c r="M308" s="603">
        <v>1</v>
      </c>
      <c r="N308" s="494"/>
    </row>
    <row r="309" spans="1:31" s="480" customFormat="1" ht="11.25" customHeight="1">
      <c r="A309" s="473">
        <f t="shared" si="94"/>
        <v>2013</v>
      </c>
      <c r="B309" s="369">
        <f t="shared" si="93"/>
        <v>0.1999990379694522</v>
      </c>
      <c r="C309" s="141">
        <f t="shared" si="92"/>
        <v>0.418761801611156</v>
      </c>
      <c r="D309" s="141">
        <f t="shared" si="92"/>
        <v>0.67493332641121606</v>
      </c>
      <c r="E309" s="141">
        <f t="shared" si="92"/>
        <v>0.85680776898646638</v>
      </c>
      <c r="F309" s="141">
        <v>1</v>
      </c>
      <c r="G309" s="141">
        <v>1</v>
      </c>
      <c r="H309" s="141">
        <v>1</v>
      </c>
      <c r="I309" s="141">
        <v>1</v>
      </c>
      <c r="J309" s="141">
        <v>1</v>
      </c>
      <c r="K309" s="141">
        <v>1</v>
      </c>
      <c r="L309" s="141">
        <v>1</v>
      </c>
      <c r="M309" s="603">
        <v>1</v>
      </c>
      <c r="N309" s="481"/>
      <c r="AD309" s="481"/>
      <c r="AE309" s="481"/>
    </row>
    <row r="310" spans="1:31" s="493" customFormat="1" ht="11.25" customHeight="1">
      <c r="A310" s="473">
        <f t="shared" si="94"/>
        <v>2014</v>
      </c>
      <c r="B310" s="369">
        <f t="shared" si="93"/>
        <v>0.1999990379694522</v>
      </c>
      <c r="C310" s="141">
        <f t="shared" si="92"/>
        <v>0.418761801611156</v>
      </c>
      <c r="D310" s="141">
        <f t="shared" si="92"/>
        <v>0.67493332641121606</v>
      </c>
      <c r="E310" s="141">
        <f t="shared" si="92"/>
        <v>0.85680776898646638</v>
      </c>
      <c r="F310" s="141">
        <v>1</v>
      </c>
      <c r="G310" s="141">
        <v>1</v>
      </c>
      <c r="H310" s="141">
        <v>1</v>
      </c>
      <c r="I310" s="141">
        <v>1</v>
      </c>
      <c r="J310" s="141">
        <v>1</v>
      </c>
      <c r="K310" s="141">
        <v>1</v>
      </c>
      <c r="L310" s="141">
        <v>1</v>
      </c>
      <c r="M310" s="603">
        <v>1</v>
      </c>
      <c r="N310" s="494"/>
      <c r="AD310" s="494"/>
      <c r="AE310" s="494"/>
    </row>
    <row r="311" spans="1:31" s="493" customFormat="1" ht="11.25" customHeight="1">
      <c r="A311" s="473">
        <f t="shared" si="94"/>
        <v>2015</v>
      </c>
      <c r="B311" s="369">
        <f t="shared" si="93"/>
        <v>0.1999990379694522</v>
      </c>
      <c r="C311" s="141">
        <f t="shared" si="92"/>
        <v>0.418761801611156</v>
      </c>
      <c r="D311" s="141">
        <f t="shared" si="92"/>
        <v>0.67493332641121606</v>
      </c>
      <c r="E311" s="141">
        <f t="shared" si="92"/>
        <v>0.85680776898646638</v>
      </c>
      <c r="F311" s="141">
        <v>1</v>
      </c>
      <c r="G311" s="141">
        <v>1</v>
      </c>
      <c r="H311" s="141">
        <v>1</v>
      </c>
      <c r="I311" s="141">
        <v>1</v>
      </c>
      <c r="J311" s="141">
        <v>1</v>
      </c>
      <c r="K311" s="141">
        <v>1</v>
      </c>
      <c r="L311" s="141">
        <v>1</v>
      </c>
      <c r="M311" s="603">
        <v>1</v>
      </c>
      <c r="N311" s="494"/>
      <c r="AD311" s="494"/>
      <c r="AE311" s="494"/>
    </row>
    <row r="312" spans="1:31" s="493" customFormat="1" ht="11.25" customHeight="1">
      <c r="A312" s="703">
        <f t="shared" si="94"/>
        <v>2016</v>
      </c>
      <c r="B312" s="666">
        <f t="shared" si="93"/>
        <v>0.1999990379694522</v>
      </c>
      <c r="C312" s="604">
        <f t="shared" si="92"/>
        <v>0.418761801611156</v>
      </c>
      <c r="D312" s="604">
        <f t="shared" si="92"/>
        <v>0.67493332641121606</v>
      </c>
      <c r="E312" s="604">
        <f t="shared" si="92"/>
        <v>0.85680776898646638</v>
      </c>
      <c r="F312" s="604">
        <v>1</v>
      </c>
      <c r="G312" s="604">
        <v>1</v>
      </c>
      <c r="H312" s="604">
        <v>1</v>
      </c>
      <c r="I312" s="604">
        <v>1</v>
      </c>
      <c r="J312" s="604">
        <v>1</v>
      </c>
      <c r="K312" s="604">
        <v>1</v>
      </c>
      <c r="L312" s="604">
        <v>1</v>
      </c>
      <c r="M312" s="605">
        <v>1</v>
      </c>
      <c r="N312" s="494"/>
      <c r="AD312" s="494"/>
      <c r="AE312" s="494"/>
    </row>
    <row r="313" spans="1:31" ht="11.25" customHeight="1">
      <c r="A313" s="473"/>
      <c r="B313" s="141"/>
      <c r="C313" s="141"/>
      <c r="D313" s="141"/>
      <c r="E313" s="141"/>
      <c r="F313" s="141"/>
      <c r="G313" s="141"/>
      <c r="H313" s="141"/>
      <c r="I313" s="141"/>
      <c r="J313" s="141"/>
      <c r="K313" s="141"/>
      <c r="L313" s="141"/>
      <c r="M313" s="141"/>
    </row>
    <row r="314" spans="1:31" ht="11.25" customHeight="1"/>
    <row r="315" spans="1:31" ht="11.25" customHeight="1"/>
    <row r="316" spans="1:31" ht="11.25" customHeight="1"/>
    <row r="317" spans="1:31" ht="11.25" customHeight="1">
      <c r="B317" s="59"/>
      <c r="C317" s="59"/>
    </row>
    <row r="318" spans="1:31" ht="11.25" customHeight="1">
      <c r="B318" s="59"/>
      <c r="C318" s="59"/>
    </row>
    <row r="319" spans="1:31" ht="11.25" customHeight="1">
      <c r="A319" s="370" t="s">
        <v>100</v>
      </c>
      <c r="B319" s="241"/>
      <c r="C319" s="241"/>
      <c r="D319" s="241"/>
      <c r="E319" s="241"/>
      <c r="F319" s="241"/>
      <c r="G319" s="241"/>
      <c r="H319" s="241"/>
      <c r="I319" s="241"/>
      <c r="J319" s="241"/>
      <c r="K319" s="241"/>
      <c r="L319" s="241"/>
      <c r="M319" s="241"/>
    </row>
    <row r="320" spans="1:31" ht="11.25" customHeight="1">
      <c r="A320" s="241"/>
      <c r="B320" s="371">
        <v>7.7671503920243449E-3</v>
      </c>
      <c r="C320" s="371">
        <v>7.4724892692393033E-2</v>
      </c>
      <c r="D320" s="371">
        <v>0.2298570802071303</v>
      </c>
      <c r="E320" s="371">
        <v>0.44330309959294595</v>
      </c>
      <c r="F320" s="371">
        <v>0.66198499182001391</v>
      </c>
      <c r="G320" s="371">
        <v>0.8408629860455572</v>
      </c>
      <c r="H320" s="371">
        <v>0.95523331810132428</v>
      </c>
      <c r="I320" s="371">
        <v>1</v>
      </c>
      <c r="J320" s="371">
        <v>0.98351635347744104</v>
      </c>
      <c r="K320" s="371">
        <v>0.92082957124480613</v>
      </c>
      <c r="L320" s="371">
        <v>0.82846936435956509</v>
      </c>
      <c r="M320" s="371">
        <v>0.7212539954700472</v>
      </c>
    </row>
    <row r="321" spans="2:3" ht="11.25" customHeight="1">
      <c r="B321" s="372"/>
      <c r="C321" s="59"/>
    </row>
    <row r="322" spans="2:3" ht="11.25" customHeight="1">
      <c r="B322" s="372"/>
      <c r="C322" s="59"/>
    </row>
    <row r="323" spans="2:3" ht="11.25" customHeight="1">
      <c r="B323" s="372"/>
      <c r="C323" s="59"/>
    </row>
    <row r="324" spans="2:3" ht="11.25" customHeight="1">
      <c r="B324" s="372"/>
      <c r="C324" s="59"/>
    </row>
    <row r="325" spans="2:3" ht="11.25" customHeight="1">
      <c r="B325" s="372"/>
      <c r="C325" s="59"/>
    </row>
    <row r="326" spans="2:3" ht="11.25" customHeight="1">
      <c r="B326" s="372"/>
      <c r="C326" s="59"/>
    </row>
    <row r="327" spans="2:3" ht="12.75">
      <c r="B327" s="372"/>
      <c r="C327" s="59"/>
    </row>
    <row r="328" spans="2:3" ht="12.75">
      <c r="B328" s="372"/>
      <c r="C328" s="59"/>
    </row>
    <row r="329" spans="2:3" ht="12.75">
      <c r="B329" s="372"/>
      <c r="C329" s="59"/>
    </row>
    <row r="330" spans="2:3" ht="12.75">
      <c r="B330" s="372"/>
      <c r="C330" s="59"/>
    </row>
    <row r="331" spans="2:3" ht="12.75">
      <c r="B331" s="372"/>
      <c r="C331" s="59"/>
    </row>
    <row r="332" spans="2:3" ht="12.75">
      <c r="B332" s="372"/>
      <c r="C332" s="59"/>
    </row>
    <row r="333" spans="2:3" ht="12.75">
      <c r="B333" s="372"/>
      <c r="C333" s="59"/>
    </row>
    <row r="334" spans="2:3" ht="12.75">
      <c r="B334" s="372"/>
      <c r="C334" s="59"/>
    </row>
    <row r="335" spans="2:3" ht="12.75">
      <c r="B335" s="372"/>
      <c r="C335" s="59"/>
    </row>
    <row r="336" spans="2:3" ht="12.75">
      <c r="B336" s="372"/>
      <c r="C336" s="59"/>
    </row>
    <row r="337" spans="2:3" ht="12.75">
      <c r="B337" s="372"/>
      <c r="C337" s="59"/>
    </row>
    <row r="338" spans="2:3" ht="12.75">
      <c r="B338" s="372"/>
      <c r="C338" s="59"/>
    </row>
    <row r="339" spans="2:3" ht="12.75">
      <c r="B339" s="372"/>
      <c r="C339" s="59"/>
    </row>
    <row r="340" spans="2:3" ht="12.75">
      <c r="B340" s="372"/>
      <c r="C340" s="59"/>
    </row>
    <row r="341" spans="2:3" ht="12.75">
      <c r="B341" s="372"/>
      <c r="C341" s="59"/>
    </row>
    <row r="342" spans="2:3" ht="12.75">
      <c r="B342" s="372"/>
      <c r="C342" s="59"/>
    </row>
  </sheetData>
  <dataConsolidate/>
  <mergeCells count="1">
    <mergeCell ref="P210:W210"/>
  </mergeCells>
  <phoneticPr fontId="6" type="noConversion"/>
  <pageMargins left="0.21" right="0.21" top="0.25" bottom="0.17" header="0.19" footer="0"/>
  <pageSetup scale="55" fitToWidth="2" orientation="landscape" horizontalDpi="4294967292" verticalDpi="4294967292" r:id="rId1"/>
  <headerFooter alignWithMargins="0">
    <oddFooter>&amp;L&amp;"Helv,Italic"&amp;8TOGIAK: &amp;F - Page &amp;P  &amp;R&amp;"Helv,Italic"&amp;8&amp;D   &amp;T</oddFooter>
  </headerFooter>
  <rowBreaks count="2" manualBreakCount="2">
    <brk id="84" max="16383" man="1"/>
    <brk id="200" max="16383" man="1"/>
  </rowBreaks>
  <colBreaks count="1" manualBreakCount="1">
    <brk id="31" max="1048575" man="1"/>
  </colBreaks>
  <ignoredErrors>
    <ignoredError sqref="N32:N40 O87:O93 N110:N124 N126:N133 O64:O86 N134:N139" formulaRange="1"/>
    <ignoredError sqref="L77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Exploitation</vt:lpstr>
      <vt:lpstr>ASA</vt:lpstr>
      <vt:lpstr>first_age</vt:lpstr>
      <vt:lpstr>first_year</vt:lpstr>
    </vt:vector>
  </TitlesOfParts>
  <Company>ADF&amp;G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cebrazil</dc:creator>
  <cp:lastModifiedBy>Dressel, Sherri C (DFG)</cp:lastModifiedBy>
  <cp:lastPrinted>2009-10-30T20:29:10Z</cp:lastPrinted>
  <dcterms:created xsi:type="dcterms:W3CDTF">2006-11-03T00:14:09Z</dcterms:created>
  <dcterms:modified xsi:type="dcterms:W3CDTF">2017-11-26T03:56:12Z</dcterms:modified>
</cp:coreProperties>
</file>