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einl work files\Publications\ADF&amp;G Reporting\Reports - Region 1\wip373 - ROP Situk River weir 2019-2021\"/>
    </mc:Choice>
  </mc:AlternateContent>
  <xr:revisionPtr revIDLastSave="0" documentId="13_ncr:40009_{9E2D0290-5B2C-4683-9C0C-2F2171CBBB69}" xr6:coauthVersionLast="40" xr6:coauthVersionMax="40" xr10:uidLastSave="{00000000-0000-0000-0000-000000000000}"/>
  <bookViews>
    <workbookView xWindow="-120" yWindow="-120" windowWidth="25440" windowHeight="15390"/>
  </bookViews>
  <sheets>
    <sheet name="Discrete (i.e. proportions)" sheetId="1" r:id="rId1"/>
    <sheet name="Continuous (i.e. means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A17" i="1" l="1"/>
  <c r="B68" i="1"/>
  <c r="C68" i="1"/>
  <c r="J60" i="1"/>
  <c r="I60" i="1"/>
  <c r="J38" i="1"/>
  <c r="I38" i="1"/>
  <c r="I39" i="1"/>
  <c r="J39" i="1"/>
  <c r="I40" i="1"/>
  <c r="J40" i="1"/>
  <c r="I41" i="1"/>
  <c r="J41" i="1"/>
  <c r="I42" i="1"/>
  <c r="J42" i="1"/>
  <c r="I43" i="1"/>
  <c r="J43" i="1"/>
  <c r="G67" i="1"/>
  <c r="H67" i="1"/>
  <c r="F67" i="1"/>
  <c r="F63" i="1" s="1"/>
  <c r="F37" i="1" s="1"/>
  <c r="C67" i="1"/>
  <c r="C63" i="1"/>
  <c r="C37" i="1"/>
  <c r="C40" i="1" s="1"/>
  <c r="C52" i="1" s="1"/>
  <c r="D67" i="1"/>
  <c r="B67" i="1"/>
  <c r="F68" i="1"/>
  <c r="G68" i="1"/>
  <c r="G63" i="1" s="1"/>
  <c r="G37" i="1" s="1"/>
  <c r="H68" i="1"/>
  <c r="H63" i="1" s="1"/>
  <c r="H37" i="1" s="1"/>
  <c r="D68" i="1"/>
  <c r="D63" i="1"/>
  <c r="D37" i="1" s="1"/>
  <c r="B20" i="1"/>
  <c r="B6" i="1"/>
  <c r="B11" i="1" s="1"/>
  <c r="H20" i="1"/>
  <c r="H6" i="1"/>
  <c r="H7" i="1" s="1"/>
  <c r="G20" i="1"/>
  <c r="G6" i="1" s="1"/>
  <c r="G16" i="1" s="1"/>
  <c r="F20" i="1"/>
  <c r="F6" i="1"/>
  <c r="F12" i="1" s="1"/>
  <c r="D20" i="1"/>
  <c r="D6" i="1"/>
  <c r="D16" i="1" s="1"/>
  <c r="C20" i="1"/>
  <c r="C6" i="1"/>
  <c r="C10" i="1" s="1"/>
  <c r="C26" i="2"/>
  <c r="C27" i="2"/>
  <c r="B27" i="2"/>
  <c r="B63" i="1"/>
  <c r="B37" i="1"/>
  <c r="B38" i="1" s="1"/>
  <c r="F8" i="1"/>
  <c r="C8" i="1"/>
  <c r="B49" i="1"/>
  <c r="K60" i="1" s="1"/>
  <c r="B60" i="1" s="1"/>
  <c r="C9" i="1"/>
  <c r="F7" i="1"/>
  <c r="B12" i="1" l="1"/>
  <c r="B16" i="1"/>
  <c r="C7" i="1"/>
  <c r="C11" i="1"/>
  <c r="C16" i="1"/>
  <c r="F10" i="1"/>
  <c r="F16" i="1"/>
  <c r="P17" i="1"/>
  <c r="H9" i="1"/>
  <c r="M17" i="1"/>
  <c r="J17" i="1"/>
  <c r="B50" i="1"/>
  <c r="D39" i="1"/>
  <c r="D51" i="1" s="1"/>
  <c r="D40" i="1"/>
  <c r="D52" i="1" s="1"/>
  <c r="D49" i="1"/>
  <c r="M60" i="1" s="1"/>
  <c r="D60" i="1" s="1"/>
  <c r="D42" i="1"/>
  <c r="D41" i="1"/>
  <c r="D53" i="1" s="1"/>
  <c r="D38" i="1"/>
  <c r="D43" i="1"/>
  <c r="D55" i="1" s="1"/>
  <c r="G11" i="1"/>
  <c r="G12" i="1"/>
  <c r="G9" i="1"/>
  <c r="G8" i="1"/>
  <c r="G7" i="1"/>
  <c r="G10" i="1"/>
  <c r="H43" i="1"/>
  <c r="H55" i="1" s="1"/>
  <c r="H40" i="1"/>
  <c r="H52" i="1" s="1"/>
  <c r="H42" i="1"/>
  <c r="H54" i="1" s="1"/>
  <c r="H49" i="1"/>
  <c r="Q60" i="1" s="1"/>
  <c r="H60" i="1" s="1"/>
  <c r="H39" i="1"/>
  <c r="H51" i="1" s="1"/>
  <c r="H41" i="1"/>
  <c r="H53" i="1" s="1"/>
  <c r="H38" i="1"/>
  <c r="F40" i="1"/>
  <c r="F52" i="1" s="1"/>
  <c r="F41" i="1"/>
  <c r="F53" i="1" s="1"/>
  <c r="F42" i="1"/>
  <c r="F54" i="1" s="1"/>
  <c r="F43" i="1"/>
  <c r="F39" i="1"/>
  <c r="F49" i="1"/>
  <c r="O60" i="1" s="1"/>
  <c r="F60" i="1" s="1"/>
  <c r="F38" i="1"/>
  <c r="F50" i="1" s="1"/>
  <c r="G42" i="1"/>
  <c r="G38" i="1"/>
  <c r="G49" i="1"/>
  <c r="P60" i="1" s="1"/>
  <c r="G60" i="1" s="1"/>
  <c r="G39" i="1"/>
  <c r="G43" i="1"/>
  <c r="G55" i="1" s="1"/>
  <c r="G40" i="1"/>
  <c r="G52" i="1" s="1"/>
  <c r="G41" i="1"/>
  <c r="G53" i="1" s="1"/>
  <c r="D7" i="1"/>
  <c r="B42" i="1"/>
  <c r="B54" i="1" s="1"/>
  <c r="D9" i="1"/>
  <c r="C42" i="1"/>
  <c r="C54" i="1" s="1"/>
  <c r="D10" i="1"/>
  <c r="B7" i="1"/>
  <c r="F55" i="1"/>
  <c r="D54" i="1"/>
  <c r="Q17" i="1"/>
  <c r="C12" i="1"/>
  <c r="F9" i="1"/>
  <c r="C49" i="1"/>
  <c r="L60" i="1" s="1"/>
  <c r="C60" i="1" s="1"/>
  <c r="B43" i="1"/>
  <c r="B55" i="1" s="1"/>
  <c r="H8" i="1"/>
  <c r="C51" i="1"/>
  <c r="O17" i="1"/>
  <c r="B51" i="1"/>
  <c r="B40" i="1"/>
  <c r="B52" i="1" s="1"/>
  <c r="K17" i="1"/>
  <c r="H12" i="1"/>
  <c r="C39" i="1"/>
  <c r="G51" i="1"/>
  <c r="F51" i="1"/>
  <c r="B39" i="1"/>
  <c r="D50" i="1"/>
  <c r="L17" i="1"/>
  <c r="D11" i="1"/>
  <c r="D8" i="1"/>
  <c r="G50" i="1"/>
  <c r="G54" i="1"/>
  <c r="B41" i="1"/>
  <c r="B53" i="1" s="1"/>
  <c r="I17" i="1"/>
  <c r="F11" i="1"/>
  <c r="C38" i="1"/>
  <c r="C50" i="1" s="1"/>
  <c r="H50" i="1"/>
  <c r="D12" i="1"/>
  <c r="B9" i="1"/>
  <c r="C43" i="1"/>
  <c r="C55" i="1" s="1"/>
  <c r="B10" i="1"/>
  <c r="H10" i="1"/>
  <c r="C41" i="1"/>
  <c r="C53" i="1" s="1"/>
  <c r="B8" i="1"/>
  <c r="H11" i="1"/>
  <c r="D17" i="1" l="1"/>
  <c r="H17" i="1"/>
  <c r="C17" i="1"/>
  <c r="G17" i="1"/>
  <c r="B17" i="1"/>
  <c r="F17" i="1"/>
</calcChain>
</file>

<file path=xl/comments1.xml><?xml version="1.0" encoding="utf-8"?>
<comments xmlns="http://schemas.openxmlformats.org/spreadsheetml/2006/main">
  <authors>
    <author>Heinl, Steve (DFG)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CHANGED THIS ROW TO 0.10 (FROM 0.05) TO BE +/- 10%</t>
        </r>
      </text>
    </comment>
  </commentList>
</comments>
</file>

<file path=xl/sharedStrings.xml><?xml version="1.0" encoding="utf-8"?>
<sst xmlns="http://schemas.openxmlformats.org/spreadsheetml/2006/main" count="176" uniqueCount="87">
  <si>
    <t>Formula for sample size for the mean (i.e., mean length or weight)</t>
  </si>
  <si>
    <r>
      <t>n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Z</t>
    </r>
    <r>
      <rPr>
        <vertAlign val="subscript"/>
        <sz val="12"/>
        <rFont val="Arial"/>
        <family val="2"/>
      </rPr>
      <t>(α/2</t>
    </r>
    <r>
      <rPr>
        <sz val="12"/>
        <rFont val="Arial"/>
        <family val="2"/>
      </rPr>
      <t>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x (CV%)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/ (e%)</t>
    </r>
    <r>
      <rPr>
        <vertAlign val="superscript"/>
        <sz val="12"/>
        <rFont val="Arial"/>
        <family val="2"/>
      </rPr>
      <t>2</t>
    </r>
  </si>
  <si>
    <t>Where:</t>
  </si>
  <si>
    <r>
      <t>Z</t>
    </r>
    <r>
      <rPr>
        <vertAlign val="subscript"/>
        <sz val="10"/>
        <rFont val="Arial"/>
        <family val="2"/>
      </rPr>
      <t>(α/2)</t>
    </r>
    <r>
      <rPr>
        <sz val="10"/>
        <rFont val="Arial"/>
      </rPr>
      <t xml:space="preserve"> = 1.960 for a 95% confidence level or 1.645 for a 90% confidence level</t>
    </r>
  </si>
  <si>
    <t>CV = Coefficient of Variation (in percent) from a past study or "pilot" study with a sample size &gt; 30</t>
  </si>
  <si>
    <t>e = desired precision = the acceptable relative precision in percent (i.e., 5% or 10%)</t>
  </si>
  <si>
    <r>
      <t>To calculate:</t>
    </r>
    <r>
      <rPr>
        <sz val="10"/>
        <rFont val="Arial"/>
      </rPr>
      <t xml:space="preserve"> enter values in yellow shaded cells to get sample size in blue shaded cell</t>
    </r>
  </si>
  <si>
    <t>Terms and conversions:</t>
  </si>
  <si>
    <t>Enter:</t>
  </si>
  <si>
    <t>Required entries:</t>
  </si>
  <si>
    <t>or</t>
  </si>
  <si>
    <r>
      <t>Z</t>
    </r>
    <r>
      <rPr>
        <vertAlign val="subscript"/>
        <sz val="10"/>
        <rFont val="Arial"/>
        <family val="2"/>
      </rPr>
      <t>(α/2)</t>
    </r>
    <r>
      <rPr>
        <sz val="10"/>
        <rFont val="Arial"/>
      </rPr>
      <t xml:space="preserve"> =</t>
    </r>
  </si>
  <si>
    <t>x</t>
  </si>
  <si>
    <t>e% =</t>
  </si>
  <si>
    <t>%</t>
  </si>
  <si>
    <t>CV% =</t>
  </si>
  <si>
    <r>
      <t>X</t>
    </r>
    <r>
      <rPr>
        <vertAlign val="subscript"/>
        <sz val="10"/>
        <rFont val="Arial"/>
        <family val="2"/>
      </rPr>
      <t>bar</t>
    </r>
    <r>
      <rPr>
        <sz val="10"/>
        <rFont val="Arial"/>
      </rPr>
      <t xml:space="preserve"> =</t>
    </r>
  </si>
  <si>
    <r>
      <t>sample mean = sum(x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)/n</t>
    </r>
  </si>
  <si>
    <r>
      <t>s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</si>
  <si>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variance</t>
  </si>
  <si>
    <t>s =</t>
  </si>
  <si>
    <r>
      <t>standard deviation = sqrt(s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)</t>
    </r>
  </si>
  <si>
    <t>n =</t>
  </si>
  <si>
    <t>sample size</t>
  </si>
  <si>
    <t>SE =</t>
  </si>
  <si>
    <t>standard error = s/sqrt(n)</t>
  </si>
  <si>
    <t>SE x sqrt(n)</t>
  </si>
  <si>
    <r>
      <t>(s/X</t>
    </r>
    <r>
      <rPr>
        <vertAlign val="subscript"/>
        <sz val="10"/>
        <rFont val="Arial"/>
        <family val="2"/>
      </rPr>
      <t>bar</t>
    </r>
    <r>
      <rPr>
        <sz val="10"/>
        <rFont val="Arial"/>
      </rPr>
      <t>) x 100</t>
    </r>
  </si>
  <si>
    <t>(1)</t>
  </si>
  <si>
    <t>http://home.ubalt.edu/ntsbarsh/Business-stat/opre504.htm</t>
  </si>
  <si>
    <t>(2)</t>
  </si>
  <si>
    <t>Larsen, David R. September 18, 2000. Sample size determination.  Natural Resource</t>
  </si>
  <si>
    <t>Biometrics, University of Missouri-Columbia,</t>
  </si>
  <si>
    <t>http://oak.snr.missouri.edu/nr3110/topics/samplesize.html</t>
  </si>
  <si>
    <t>(3)</t>
  </si>
  <si>
    <t>Israel, Glenn D.  2003.  Determining sample size. University of Florida, IFAS Extension, PEOD6.</t>
  </si>
  <si>
    <t>http://edis.ifas.ufl.edu/PD006</t>
  </si>
  <si>
    <t>Number of Groups</t>
  </si>
  <si>
    <t>90% Confidence</t>
  </si>
  <si>
    <t>95% Confidence</t>
  </si>
  <si>
    <t>Population Size (N)</t>
  </si>
  <si>
    <t>4+</t>
  </si>
  <si>
    <t>Enter estimated population size in yellow shaded cell to get computed values in blue shaded cells</t>
  </si>
  <si>
    <t>d =</t>
  </si>
  <si>
    <t>v =</t>
  </si>
  <si>
    <t>m =</t>
  </si>
  <si>
    <t>Angers, C.  1989.  Note on quick simultaneous confidence intervals for multinomial proportions.  The American Statistician. Vol. 43, No. 2, p 91.</t>
  </si>
  <si>
    <t>Thompson, S. K. 1987.  Sample size for estimating multinomial proportions.  The American Statistician. Vol. 41, No. 1, pp. 42-46.</t>
  </si>
  <si>
    <t>Arsham, Hossein. Statistical thinking for managerial decisions, sample size determinations.</t>
  </si>
  <si>
    <t>i.e.,</t>
  </si>
  <si>
    <t>Reference:</t>
  </si>
  <si>
    <t>Cochran, W. G.  1977.  Sampling Techniques, 3rd. Edition.  John Wiley and Sons, New York.</t>
  </si>
  <si>
    <r>
      <t xml:space="preserve">Web References: </t>
    </r>
    <r>
      <rPr>
        <sz val="10"/>
        <rFont val="Arial"/>
        <family val="2"/>
      </rPr>
      <t>(from November 2008)</t>
    </r>
  </si>
  <si>
    <t>(4)</t>
  </si>
  <si>
    <t>p=</t>
  </si>
  <si>
    <t>N-1</t>
  </si>
  <si>
    <t>1/N</t>
  </si>
  <si>
    <t>Z(α/2v) =</t>
  </si>
  <si>
    <t>α=</t>
  </si>
  <si>
    <r>
      <t>a</t>
    </r>
    <r>
      <rPr>
        <sz val="10"/>
        <rFont val="Cambria"/>
        <family val="1"/>
      </rPr>
      <t>Adapted from J. Blick, 1991, ADF&amp;G, personal communication.</t>
    </r>
  </si>
  <si>
    <r>
      <t>b</t>
    </r>
    <r>
      <rPr>
        <sz val="10"/>
        <rFont val="Cambria"/>
        <family val="1"/>
      </rPr>
      <t>Sample sizes for infinite population size (n) computed using n = (c/d)</t>
    </r>
    <r>
      <rPr>
        <vertAlign val="superscript"/>
        <sz val="10"/>
        <rFont val="Cambria"/>
        <family val="1"/>
      </rPr>
      <t>2</t>
    </r>
    <r>
      <rPr>
        <sz val="10"/>
        <rFont val="Cambria"/>
        <family val="1"/>
      </rPr>
      <t>, from Angers (1989) and Thompson (1987), where:</t>
    </r>
  </si>
  <si>
    <r>
      <t>c = Z(α/2v)[(1/m)*(1-1/m)]</t>
    </r>
    <r>
      <rPr>
        <vertAlign val="superscript"/>
        <sz val="10"/>
        <rFont val="Cambria"/>
        <family val="1"/>
      </rPr>
      <t>.5</t>
    </r>
    <r>
      <rPr>
        <sz val="10"/>
        <rFont val="Cambria"/>
        <family val="1"/>
      </rPr>
      <t xml:space="preserve"> =</t>
    </r>
  </si>
  <si>
    <r>
      <t>c</t>
    </r>
    <r>
      <rPr>
        <sz val="10"/>
        <rFont val="Cambria"/>
        <family val="1"/>
      </rPr>
      <t>Sample sizes for finite population size (n</t>
    </r>
    <r>
      <rPr>
        <vertAlign val="subscript"/>
        <sz val="10"/>
        <rFont val="Cambria"/>
        <family val="1"/>
      </rPr>
      <t>1</t>
    </r>
    <r>
      <rPr>
        <sz val="10"/>
        <rFont val="Cambria"/>
        <family val="1"/>
      </rPr>
      <t>) computed using n</t>
    </r>
    <r>
      <rPr>
        <vertAlign val="subscript"/>
        <sz val="10"/>
        <rFont val="Cambria"/>
        <family val="1"/>
      </rPr>
      <t>1</t>
    </r>
    <r>
      <rPr>
        <sz val="10"/>
        <rFont val="Cambria"/>
        <family val="1"/>
      </rPr>
      <t xml:space="preserve"> = n/(1+(n-1)/N), where N is the finite population size (Cochran 1977, p. 76).</t>
    </r>
  </si>
  <si>
    <r>
      <t>Cochran, W. G.  1977.  Sampling Techniques, third edition</t>
    </r>
    <r>
      <rPr>
        <i/>
        <sz val="10"/>
        <rFont val="Cambria"/>
        <family val="1"/>
      </rPr>
      <t>.</t>
    </r>
    <r>
      <rPr>
        <sz val="10"/>
        <rFont val="Cambria"/>
        <family val="1"/>
      </rPr>
      <t xml:space="preserve">  John Wiley and Sons, New York.</t>
    </r>
  </si>
  <si>
    <r>
      <t>infinite=n</t>
    </r>
    <r>
      <rPr>
        <vertAlign val="subscript"/>
        <sz val="12"/>
        <rFont val="Cambria"/>
        <family val="1"/>
      </rPr>
      <t>0</t>
    </r>
    <r>
      <rPr>
        <sz val="12"/>
        <rFont val="Cambria"/>
        <family val="1"/>
      </rPr>
      <t>=</t>
    </r>
  </si>
  <si>
    <r>
      <t>z</t>
    </r>
    <r>
      <rPr>
        <vertAlign val="superscript"/>
        <sz val="10"/>
        <rFont val="Cambria"/>
        <family val="1"/>
      </rPr>
      <t>2</t>
    </r>
    <r>
      <rPr>
        <sz val="10"/>
        <rFont val="Cambria"/>
        <family val="1"/>
      </rPr>
      <t>p(1-p)</t>
    </r>
  </si>
  <si>
    <t>NA</t>
  </si>
  <si>
    <r>
      <t>N*n</t>
    </r>
    <r>
      <rPr>
        <vertAlign val="subscript"/>
        <sz val="12"/>
        <rFont val="Cambria"/>
        <family val="1"/>
      </rPr>
      <t>0</t>
    </r>
  </si>
  <si>
    <r>
      <t>N*n</t>
    </r>
    <r>
      <rPr>
        <vertAlign val="subscript"/>
        <sz val="12"/>
        <rFont val="Cambria"/>
        <family val="1"/>
      </rPr>
      <t>0</t>
    </r>
    <r>
      <rPr>
        <sz val="10"/>
        <rFont val="Arial"/>
      </rPr>
      <t/>
    </r>
  </si>
  <si>
    <r>
      <t>infinite=n</t>
    </r>
    <r>
      <rPr>
        <vertAlign val="subscript"/>
        <sz val="12"/>
        <rFont val="Cambria"/>
        <family val="1"/>
      </rPr>
      <t>0</t>
    </r>
  </si>
  <si>
    <r>
      <t>Method #1:Sample size needs for estimating multinomial proportions at a precision (d) of ±5%</t>
    </r>
    <r>
      <rPr>
        <b/>
        <vertAlign val="superscript"/>
        <sz val="14"/>
        <rFont val="Cambria"/>
        <family val="1"/>
      </rPr>
      <t>abc</t>
    </r>
  </si>
  <si>
    <r>
      <t>Method #2:Sample size needs for estimating multinomial proportions at a precision (d) of ±5%</t>
    </r>
    <r>
      <rPr>
        <b/>
        <vertAlign val="superscript"/>
        <sz val="14"/>
        <rFont val="Cambria"/>
        <family val="1"/>
      </rPr>
      <t>abc</t>
    </r>
  </si>
  <si>
    <t>k=2</t>
  </si>
  <si>
    <t>k=3</t>
  </si>
  <si>
    <t>k=4+</t>
  </si>
  <si>
    <t>≥7</t>
  </si>
  <si>
    <t>α=0 to 0.0344</t>
  </si>
  <si>
    <t>α=0.0344 to 0.3466</t>
  </si>
  <si>
    <t>2, 2</t>
  </si>
  <si>
    <t>3, 3</t>
  </si>
  <si>
    <t xml:space="preserve">Source: Angers, C.  1989.  Note on quick simultaneous confidence intervals for multinomial </t>
  </si>
  <si>
    <t>proportions.  The American Statistician. Vol. 43, No. 2, p 91.</t>
  </si>
  <si>
    <t>k</t>
  </si>
  <si>
    <r>
      <t>Choice of (m,v) for z(</t>
    </r>
    <r>
      <rPr>
        <b/>
        <sz val="10"/>
        <rFont val="Calibri"/>
        <family val="2"/>
      </rPr>
      <t>α</t>
    </r>
    <r>
      <rPr>
        <b/>
        <sz val="10"/>
        <rFont val="Cambria"/>
        <family val="1"/>
      </rPr>
      <t>/2v)</t>
    </r>
  </si>
  <si>
    <t>Method #2:</t>
  </si>
  <si>
    <t>Method #1:</t>
  </si>
  <si>
    <t>Calculated assuming 30% unreadable scales: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</si>
</sst>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vertAlign val="subscript"/>
      <sz val="10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mbria"/>
      <family val="1"/>
    </font>
    <font>
      <b/>
      <vertAlign val="superscript"/>
      <sz val="14"/>
      <name val="Cambria"/>
      <family val="1"/>
    </font>
    <font>
      <sz val="12"/>
      <name val="Cambria"/>
      <family val="1"/>
    </font>
    <font>
      <vertAlign val="superscript"/>
      <sz val="10"/>
      <name val="Cambria"/>
      <family val="1"/>
    </font>
    <font>
      <vertAlign val="subscript"/>
      <sz val="10"/>
      <name val="Cambria"/>
      <family val="1"/>
    </font>
    <font>
      <i/>
      <sz val="10"/>
      <name val="Cambria"/>
      <family val="1"/>
    </font>
    <font>
      <vertAlign val="subscript"/>
      <sz val="12"/>
      <name val="Cambria"/>
      <family val="1"/>
    </font>
    <font>
      <b/>
      <sz val="10"/>
      <name val="Calibri"/>
      <family val="2"/>
    </font>
    <font>
      <b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i/>
      <sz val="12"/>
      <name val="Cambria"/>
      <family val="1"/>
      <scheme val="major"/>
    </font>
    <font>
      <vertAlign val="superscript"/>
      <sz val="10"/>
      <name val="Cambria"/>
      <family val="1"/>
      <scheme val="major"/>
    </font>
    <font>
      <b/>
      <vertAlign val="superscript"/>
      <sz val="10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b/>
      <sz val="10"/>
      <name val="Cambria"/>
      <family val="1"/>
      <scheme val="major"/>
    </font>
    <font>
      <i/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/>
    <xf numFmtId="0" fontId="10" fillId="0" borderId="0" xfId="0" quotePrefix="1" applyFont="1" applyFill="1"/>
    <xf numFmtId="0" fontId="0" fillId="0" borderId="0" xfId="0" applyAlignment="1">
      <alignment horizontal="right" indent="1"/>
    </xf>
    <xf numFmtId="0" fontId="0" fillId="4" borderId="0" xfId="0" applyFill="1"/>
    <xf numFmtId="0" fontId="4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2" fillId="0" borderId="0" xfId="1" applyAlignment="1" applyProtection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5" fontId="0" fillId="0" borderId="0" xfId="0" applyNumberFormat="1" applyBorder="1"/>
    <xf numFmtId="165" fontId="0" fillId="0" borderId="0" xfId="0" applyNumberFormat="1" applyFill="1" applyBorder="1"/>
    <xf numFmtId="164" fontId="11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/>
    <xf numFmtId="1" fontId="23" fillId="0" borderId="0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3" fontId="23" fillId="0" borderId="1" xfId="0" applyNumberFormat="1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" fontId="23" fillId="0" borderId="0" xfId="0" applyNumberFormat="1" applyFont="1" applyFill="1" applyBorder="1"/>
    <xf numFmtId="0" fontId="23" fillId="0" borderId="0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/>
    </xf>
    <xf numFmtId="1" fontId="23" fillId="0" borderId="2" xfId="0" applyNumberFormat="1" applyFont="1" applyFill="1" applyBorder="1"/>
    <xf numFmtId="3" fontId="25" fillId="0" borderId="0" xfId="0" applyNumberFormat="1" applyFont="1" applyFill="1" applyBorder="1" applyAlignment="1">
      <alignment horizontal="left"/>
    </xf>
    <xf numFmtId="0" fontId="26" fillId="0" borderId="0" xfId="0" applyFont="1" applyFill="1" applyBorder="1"/>
    <xf numFmtId="164" fontId="22" fillId="0" borderId="0" xfId="0" applyNumberFormat="1" applyFont="1" applyBorder="1"/>
    <xf numFmtId="0" fontId="22" fillId="0" borderId="0" xfId="0" applyFont="1" applyFill="1" applyBorder="1"/>
    <xf numFmtId="165" fontId="22" fillId="0" borderId="0" xfId="0" applyNumberFormat="1" applyFont="1" applyBorder="1"/>
    <xf numFmtId="0" fontId="25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3" fontId="23" fillId="5" borderId="0" xfId="0" applyNumberFormat="1" applyFont="1" applyFill="1" applyBorder="1" applyAlignment="1">
      <alignment horizontal="center"/>
    </xf>
    <xf numFmtId="3" fontId="23" fillId="5" borderId="3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2" fontId="23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3" fontId="22" fillId="0" borderId="0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0" xfId="0" applyFont="1" applyFill="1" applyBorder="1"/>
    <xf numFmtId="0" fontId="23" fillId="0" borderId="2" xfId="0" applyFont="1" applyFill="1" applyBorder="1"/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/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3" fontId="23" fillId="0" borderId="5" xfId="0" applyNumberFormat="1" applyFont="1" applyFill="1" applyBorder="1" applyAlignment="1">
      <alignment horizontal="center"/>
    </xf>
    <xf numFmtId="3" fontId="23" fillId="0" borderId="6" xfId="0" applyNumberFormat="1" applyFont="1" applyFill="1" applyBorder="1" applyAlignment="1">
      <alignment horizontal="center"/>
    </xf>
    <xf numFmtId="1" fontId="23" fillId="0" borderId="3" xfId="0" applyNumberFormat="1" applyFont="1" applyFill="1" applyBorder="1" applyAlignment="1">
      <alignment horizontal="center"/>
    </xf>
    <xf numFmtId="3" fontId="23" fillId="0" borderId="3" xfId="0" applyNumberFormat="1" applyFont="1" applyFill="1" applyBorder="1" applyAlignment="1">
      <alignment horizontal="center"/>
    </xf>
    <xf numFmtId="0" fontId="23" fillId="6" borderId="0" xfId="0" applyFont="1" applyFill="1" applyBorder="1" applyAlignment="1">
      <alignment horizontal="center"/>
    </xf>
    <xf numFmtId="1" fontId="23" fillId="6" borderId="0" xfId="0" applyNumberFormat="1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1" fontId="23" fillId="6" borderId="8" xfId="0" applyNumberFormat="1" applyFont="1" applyFill="1" applyBorder="1" applyAlignment="1">
      <alignment horizontal="center"/>
    </xf>
    <xf numFmtId="0" fontId="23" fillId="6" borderId="2" xfId="0" applyFont="1" applyFill="1" applyBorder="1" applyAlignment="1">
      <alignment horizontal="center"/>
    </xf>
    <xf numFmtId="1" fontId="23" fillId="6" borderId="2" xfId="0" applyNumberFormat="1" applyFont="1" applyFill="1" applyBorder="1" applyAlignment="1">
      <alignment horizontal="center"/>
    </xf>
    <xf numFmtId="3" fontId="27" fillId="7" borderId="1" xfId="0" applyNumberFormat="1" applyFont="1" applyFill="1" applyBorder="1" applyAlignment="1">
      <alignment horizontal="center"/>
    </xf>
    <xf numFmtId="1" fontId="27" fillId="8" borderId="1" xfId="0" applyNumberFormat="1" applyFont="1" applyFill="1" applyBorder="1" applyAlignment="1">
      <alignment horizontal="center"/>
    </xf>
    <xf numFmtId="1" fontId="27" fillId="8" borderId="1" xfId="0" applyNumberFormat="1" applyFont="1" applyFill="1" applyBorder="1"/>
    <xf numFmtId="164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64" fontId="22" fillId="0" borderId="7" xfId="0" applyNumberFormat="1" applyFont="1" applyFill="1" applyBorder="1" applyAlignment="1">
      <alignment horizontal="center"/>
    </xf>
    <xf numFmtId="164" fontId="22" fillId="0" borderId="8" xfId="0" applyNumberFormat="1" applyFont="1" applyFill="1" applyBorder="1" applyAlignment="1">
      <alignment horizontal="center"/>
    </xf>
    <xf numFmtId="164" fontId="22" fillId="0" borderId="9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165" fontId="22" fillId="0" borderId="6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65" fontId="22" fillId="0" borderId="11" xfId="0" applyNumberFormat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/>
    <xf numFmtId="0" fontId="28" fillId="0" borderId="0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27" fillId="0" borderId="0" xfId="0" applyFont="1" applyBorder="1"/>
    <xf numFmtId="0" fontId="30" fillId="6" borderId="8" xfId="0" applyFont="1" applyFill="1" applyBorder="1" applyAlignment="1">
      <alignment horizontal="center"/>
    </xf>
    <xf numFmtId="0" fontId="30" fillId="6" borderId="9" xfId="0" applyFont="1" applyFill="1" applyBorder="1" applyAlignment="1">
      <alignment horizontal="center"/>
    </xf>
    <xf numFmtId="0" fontId="23" fillId="5" borderId="10" xfId="0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164" fontId="22" fillId="0" borderId="7" xfId="0" applyNumberFormat="1" applyFont="1" applyFill="1" applyBorder="1" applyAlignment="1">
      <alignment horizontal="center" vertical="center"/>
    </xf>
    <xf numFmtId="164" fontId="22" fillId="0" borderId="8" xfId="0" applyNumberFormat="1" applyFont="1" applyFill="1" applyBorder="1" applyAlignment="1">
      <alignment horizontal="center" vertical="center"/>
    </xf>
    <xf numFmtId="164" fontId="22" fillId="0" borderId="9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65" fontId="22" fillId="0" borderId="5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2" fontId="22" fillId="0" borderId="6" xfId="0" applyNumberFormat="1" applyFont="1" applyFill="1" applyBorder="1" applyAlignment="1">
      <alignment horizontal="center" vertical="center"/>
    </xf>
    <xf numFmtId="2" fontId="22" fillId="0" borderId="3" xfId="0" applyNumberFormat="1" applyFont="1" applyFill="1" applyBorder="1" applyAlignment="1">
      <alignment horizontal="center" vertical="center"/>
    </xf>
    <xf numFmtId="2" fontId="22" fillId="0" borderId="11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3" fontId="27" fillId="7" borderId="4" xfId="0" applyNumberFormat="1" applyFont="1" applyFill="1" applyBorder="1" applyAlignment="1">
      <alignment horizontal="center"/>
    </xf>
    <xf numFmtId="1" fontId="27" fillId="8" borderId="4" xfId="0" applyNumberFormat="1" applyFont="1" applyFill="1" applyBorder="1" applyAlignment="1">
      <alignment horizontal="center"/>
    </xf>
    <xf numFmtId="1" fontId="27" fillId="8" borderId="4" xfId="0" applyNumberFormat="1" applyFont="1" applyFill="1" applyBorder="1"/>
    <xf numFmtId="0" fontId="23" fillId="0" borderId="4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32" fillId="0" borderId="0" xfId="0" applyFont="1" applyBorder="1"/>
    <xf numFmtId="1" fontId="27" fillId="7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1619250</xdr:colOff>
          <xdr:row>36</xdr:row>
          <xdr:rowOff>19050</xdr:rowOff>
        </xdr:from>
        <xdr:to>
          <xdr:col>0</xdr:col>
          <xdr:colOff>2381250</xdr:colOff>
          <xdr:row>37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8C97E04-26C9-413F-A15F-374F41902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DDDDD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</xdr:row>
          <xdr:rowOff>28575</xdr:rowOff>
        </xdr:from>
        <xdr:to>
          <xdr:col>10</xdr:col>
          <xdr:colOff>533400</xdr:colOff>
          <xdr:row>12</xdr:row>
          <xdr:rowOff>9525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18BEE6E-F0F8-4BE2-91E6-201EDE844E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FF00" mc:Ignorable="a14" a14:legacySpreadsheetColorIndex="11"/>
                  </a:solidFill>
                </a14:hiddenFill>
              </a:ext>
              <a:ext uri="{91240B29-F687-4F45-9708-019B960494DF}">
                <a14:hiddenLine w="635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1809750</xdr:colOff>
          <xdr:row>48</xdr:row>
          <xdr:rowOff>19050</xdr:rowOff>
        </xdr:from>
        <xdr:to>
          <xdr:col>1</xdr:col>
          <xdr:colOff>171450</xdr:colOff>
          <xdr:row>49</xdr:row>
          <xdr:rowOff>9525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1F83C72-FA1E-43C9-9136-B958050C4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DDDDD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33</xdr:row>
          <xdr:rowOff>9525</xdr:rowOff>
        </xdr:from>
        <xdr:to>
          <xdr:col>15</xdr:col>
          <xdr:colOff>247650</xdr:colOff>
          <xdr:row>37</xdr:row>
          <xdr:rowOff>171450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AD8FDAE9-9808-4FCA-A6F5-174FB17DF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FF00" mc:Ignorable="a14" a14:legacySpreadsheetColorIndex="11"/>
                  </a:solidFill>
                </a14:hiddenFill>
              </a:ext>
              <a:ext uri="{91240B29-F687-4F45-9708-019B960494DF}">
                <a14:hiddenLine w="635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228600</xdr:colOff>
      <xdr:row>20</xdr:row>
      <xdr:rowOff>104775</xdr:rowOff>
    </xdr:from>
    <xdr:to>
      <xdr:col>13</xdr:col>
      <xdr:colOff>257175</xdr:colOff>
      <xdr:row>30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12CD8F-0383-49ED-BD9F-D3B7A1C634D5}"/>
            </a:ext>
          </a:extLst>
        </xdr:cNvPr>
        <xdr:cNvSpPr txBox="1"/>
      </xdr:nvSpPr>
      <xdr:spPr>
        <a:xfrm>
          <a:off x="8181975" y="4200525"/>
          <a:ext cx="3076575" cy="16954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Objective:</a:t>
          </a:r>
          <a:r>
            <a:rPr lang="en-US" sz="1100" b="1" baseline="0"/>
            <a:t> estimate the age composition so that the estimated proportion of each age class is within 10% of the true value with at least 95% probability.</a:t>
          </a:r>
        </a:p>
        <a:p>
          <a:endParaRPr lang="en-US" sz="1100" b="1" baseline="0"/>
        </a:p>
        <a:p>
          <a:r>
            <a:rPr lang="en-US" sz="1100" b="1" baseline="0"/>
            <a:t>5-year average weir count = 1,000 fish.</a:t>
          </a:r>
        </a:p>
        <a:p>
          <a:r>
            <a:rPr lang="en-US" sz="1100" b="1" baseline="0"/>
            <a:t>5-year average un ageable scales = 30%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dis.ifas.ufl.edu/PD006" TargetMode="External"/><Relationship Id="rId2" Type="http://schemas.openxmlformats.org/officeDocument/2006/relationships/hyperlink" Target="http://oak.snr.missouri.edu/nr3110/topics/samplesize.html" TargetMode="External"/><Relationship Id="rId1" Type="http://schemas.openxmlformats.org/officeDocument/2006/relationships/hyperlink" Target="http://home.ubalt.edu/ntsbarsh/Business-stat/opre504.ht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82"/>
  <sheetViews>
    <sheetView showGridLines="0" tabSelected="1" workbookViewId="0">
      <selection sqref="A1:H1"/>
    </sheetView>
  </sheetViews>
  <sheetFormatPr defaultRowHeight="12.75" x14ac:dyDescent="0.2"/>
  <cols>
    <col min="1" max="1" width="35.85546875" style="40" customWidth="1"/>
    <col min="2" max="4" width="13.42578125" style="40" customWidth="1"/>
    <col min="5" max="5" width="2.85546875" style="40" customWidth="1"/>
    <col min="6" max="8" width="13.42578125" style="40" customWidth="1"/>
    <col min="9" max="10" width="9.140625" style="27"/>
    <col min="11" max="13" width="9.140625" style="20"/>
    <col min="14" max="14" width="9.140625" style="26"/>
    <col min="15" max="15" width="12.7109375" style="26" customWidth="1"/>
    <col min="16" max="16" width="16.42578125" style="26" customWidth="1"/>
    <col min="17" max="16384" width="9.140625" style="20"/>
  </cols>
  <sheetData>
    <row r="1" spans="1:17" ht="20.25" x14ac:dyDescent="0.25">
      <c r="A1" s="117" t="s">
        <v>70</v>
      </c>
      <c r="B1" s="117"/>
      <c r="C1" s="117"/>
      <c r="D1" s="117"/>
      <c r="E1" s="117"/>
      <c r="F1" s="117"/>
      <c r="G1" s="117"/>
      <c r="H1" s="117"/>
      <c r="I1" s="93" t="s">
        <v>85</v>
      </c>
      <c r="N1" s="92" t="s">
        <v>83</v>
      </c>
    </row>
    <row r="2" spans="1:17" ht="15.75" x14ac:dyDescent="0.25">
      <c r="A2" s="55"/>
      <c r="B2" s="55"/>
      <c r="C2" s="55"/>
      <c r="D2" s="55"/>
      <c r="E2" s="55"/>
      <c r="F2" s="55"/>
      <c r="G2" s="55"/>
      <c r="H2" s="55"/>
      <c r="N2" s="91" t="s">
        <v>82</v>
      </c>
      <c r="O2" s="91" t="s">
        <v>76</v>
      </c>
      <c r="P2" s="91" t="s">
        <v>77</v>
      </c>
    </row>
    <row r="3" spans="1:17" ht="15.75" x14ac:dyDescent="0.25">
      <c r="A3" s="56"/>
      <c r="B3" s="116" t="s">
        <v>37</v>
      </c>
      <c r="C3" s="116"/>
      <c r="D3" s="116"/>
      <c r="E3" s="116"/>
      <c r="F3" s="116"/>
      <c r="G3" s="116"/>
      <c r="H3" s="116"/>
      <c r="N3" s="26">
        <v>3</v>
      </c>
      <c r="O3" s="76" t="s">
        <v>78</v>
      </c>
      <c r="P3" s="76" t="s">
        <v>78</v>
      </c>
    </row>
    <row r="4" spans="1:17" ht="15.75" x14ac:dyDescent="0.25">
      <c r="A4" s="55"/>
      <c r="B4" s="116" t="s">
        <v>38</v>
      </c>
      <c r="C4" s="116"/>
      <c r="D4" s="116"/>
      <c r="E4" s="55"/>
      <c r="F4" s="116" t="s">
        <v>39</v>
      </c>
      <c r="G4" s="116"/>
      <c r="H4" s="116"/>
      <c r="N4" s="26">
        <v>4</v>
      </c>
      <c r="O4" s="76" t="s">
        <v>78</v>
      </c>
      <c r="P4" s="76" t="s">
        <v>79</v>
      </c>
    </row>
    <row r="5" spans="1:17" ht="15.75" x14ac:dyDescent="0.25">
      <c r="A5" s="57" t="s">
        <v>40</v>
      </c>
      <c r="B5" s="57" t="s">
        <v>72</v>
      </c>
      <c r="C5" s="57" t="s">
        <v>73</v>
      </c>
      <c r="D5" s="57" t="s">
        <v>74</v>
      </c>
      <c r="E5" s="58"/>
      <c r="F5" s="57" t="s">
        <v>72</v>
      </c>
      <c r="G5" s="57" t="s">
        <v>73</v>
      </c>
      <c r="H5" s="57" t="s">
        <v>74</v>
      </c>
      <c r="N5" s="26">
        <v>5</v>
      </c>
      <c r="O5" s="76" t="s">
        <v>78</v>
      </c>
      <c r="P5" s="76" t="s">
        <v>79</v>
      </c>
    </row>
    <row r="6" spans="1:17" ht="17.25" x14ac:dyDescent="0.3">
      <c r="A6" s="65" t="s">
        <v>69</v>
      </c>
      <c r="B6" s="66">
        <f>ROUNDUP((B20/B21)^2,0)</f>
        <v>68</v>
      </c>
      <c r="C6" s="66">
        <f t="shared" ref="C6:H6" si="0">ROUNDUP((C20/C21)^2,0)</f>
        <v>97</v>
      </c>
      <c r="D6" s="66">
        <f t="shared" si="0"/>
        <v>101</v>
      </c>
      <c r="E6" s="66"/>
      <c r="F6" s="66">
        <f t="shared" si="0"/>
        <v>97</v>
      </c>
      <c r="G6" s="66">
        <f t="shared" si="0"/>
        <v>126</v>
      </c>
      <c r="H6" s="66">
        <f t="shared" si="0"/>
        <v>128</v>
      </c>
      <c r="N6" s="50">
        <v>6</v>
      </c>
      <c r="O6" s="76" t="s">
        <v>78</v>
      </c>
      <c r="P6" s="76" t="s">
        <v>79</v>
      </c>
    </row>
    <row r="7" spans="1:17" ht="16.5" thickBot="1" x14ac:dyDescent="0.3">
      <c r="A7" s="29">
        <v>100000</v>
      </c>
      <c r="B7" s="28">
        <f t="shared" ref="B7:B12" si="1">ROUNDUP(B$6/(1+(B$6-1)/$A7),0)</f>
        <v>68</v>
      </c>
      <c r="C7" s="28">
        <f t="shared" ref="C7:H12" si="2">ROUNDUP(C$6/(1+(C$6-1)/$A7),0)</f>
        <v>97</v>
      </c>
      <c r="D7" s="28">
        <f t="shared" si="2"/>
        <v>101</v>
      </c>
      <c r="E7" s="28"/>
      <c r="F7" s="28">
        <f t="shared" si="2"/>
        <v>97</v>
      </c>
      <c r="G7" s="28">
        <f t="shared" si="2"/>
        <v>126</v>
      </c>
      <c r="H7" s="28">
        <f t="shared" si="2"/>
        <v>128</v>
      </c>
      <c r="N7" s="77" t="s">
        <v>75</v>
      </c>
      <c r="O7" s="78" t="s">
        <v>78</v>
      </c>
      <c r="P7" s="78" t="s">
        <v>79</v>
      </c>
    </row>
    <row r="8" spans="1:17" ht="15.75" x14ac:dyDescent="0.25">
      <c r="A8" s="29">
        <v>10000</v>
      </c>
      <c r="B8" s="28">
        <f t="shared" si="1"/>
        <v>68</v>
      </c>
      <c r="C8" s="28">
        <f t="shared" si="2"/>
        <v>97</v>
      </c>
      <c r="D8" s="28">
        <f t="shared" si="2"/>
        <v>100</v>
      </c>
      <c r="E8" s="28"/>
      <c r="F8" s="28">
        <f t="shared" si="2"/>
        <v>97</v>
      </c>
      <c r="G8" s="28">
        <f t="shared" si="2"/>
        <v>125</v>
      </c>
      <c r="H8" s="28">
        <f t="shared" si="2"/>
        <v>127</v>
      </c>
      <c r="N8" s="90" t="s">
        <v>80</v>
      </c>
    </row>
    <row r="9" spans="1:17" ht="15.75" x14ac:dyDescent="0.25">
      <c r="A9" s="29">
        <v>5000</v>
      </c>
      <c r="B9" s="28">
        <f t="shared" si="1"/>
        <v>68</v>
      </c>
      <c r="C9" s="28">
        <f t="shared" si="2"/>
        <v>96</v>
      </c>
      <c r="D9" s="28">
        <f t="shared" si="2"/>
        <v>100</v>
      </c>
      <c r="E9" s="28"/>
      <c r="F9" s="28">
        <f t="shared" si="2"/>
        <v>96</v>
      </c>
      <c r="G9" s="28">
        <f t="shared" si="2"/>
        <v>123</v>
      </c>
      <c r="H9" s="28">
        <f t="shared" si="2"/>
        <v>125</v>
      </c>
      <c r="N9" s="90" t="s">
        <v>81</v>
      </c>
    </row>
    <row r="10" spans="1:17" ht="15.75" x14ac:dyDescent="0.25">
      <c r="A10" s="29">
        <v>2500</v>
      </c>
      <c r="B10" s="28">
        <f t="shared" si="1"/>
        <v>67</v>
      </c>
      <c r="C10" s="28">
        <f t="shared" si="2"/>
        <v>94</v>
      </c>
      <c r="D10" s="28">
        <f t="shared" si="2"/>
        <v>98</v>
      </c>
      <c r="E10" s="28"/>
      <c r="F10" s="28">
        <f t="shared" si="2"/>
        <v>94</v>
      </c>
      <c r="G10" s="28">
        <f t="shared" si="2"/>
        <v>120</v>
      </c>
      <c r="H10" s="28">
        <f t="shared" si="2"/>
        <v>122</v>
      </c>
    </row>
    <row r="11" spans="1:17" ht="15.75" x14ac:dyDescent="0.25">
      <c r="A11" s="29">
        <v>1000</v>
      </c>
      <c r="B11" s="28">
        <f t="shared" si="1"/>
        <v>64</v>
      </c>
      <c r="C11" s="28">
        <f t="shared" si="2"/>
        <v>89</v>
      </c>
      <c r="D11" s="28">
        <f t="shared" si="2"/>
        <v>92</v>
      </c>
      <c r="E11" s="28"/>
      <c r="F11" s="28">
        <f t="shared" si="2"/>
        <v>89</v>
      </c>
      <c r="G11" s="28">
        <f t="shared" si="2"/>
        <v>112</v>
      </c>
      <c r="H11" s="28">
        <f t="shared" si="2"/>
        <v>114</v>
      </c>
    </row>
    <row r="12" spans="1:17" ht="15.75" x14ac:dyDescent="0.25">
      <c r="A12" s="30">
        <v>500</v>
      </c>
      <c r="B12" s="31">
        <f t="shared" si="1"/>
        <v>60</v>
      </c>
      <c r="C12" s="31">
        <f t="shared" si="2"/>
        <v>82</v>
      </c>
      <c r="D12" s="31">
        <f t="shared" si="2"/>
        <v>85</v>
      </c>
      <c r="E12" s="31"/>
      <c r="F12" s="31">
        <f t="shared" si="2"/>
        <v>82</v>
      </c>
      <c r="G12" s="31">
        <f t="shared" si="2"/>
        <v>101</v>
      </c>
      <c r="H12" s="31">
        <f t="shared" si="2"/>
        <v>103</v>
      </c>
    </row>
    <row r="13" spans="1:17" ht="15.75" x14ac:dyDescent="0.25">
      <c r="A13" s="46" t="s">
        <v>58</v>
      </c>
      <c r="B13" s="47">
        <v>0.1</v>
      </c>
      <c r="C13" s="47">
        <v>0.1</v>
      </c>
      <c r="D13" s="47">
        <v>0.1</v>
      </c>
      <c r="E13" s="47"/>
      <c r="F13" s="47">
        <v>0.05</v>
      </c>
      <c r="G13" s="47">
        <v>0.05</v>
      </c>
      <c r="H13" s="47">
        <v>0.05</v>
      </c>
      <c r="I13" s="40"/>
      <c r="J13" s="40"/>
      <c r="K13" s="114" t="s">
        <v>37</v>
      </c>
      <c r="L13" s="114"/>
      <c r="M13" s="114"/>
      <c r="N13" s="114"/>
      <c r="O13" s="114"/>
      <c r="P13" s="114"/>
      <c r="Q13" s="114"/>
    </row>
    <row r="14" spans="1:17" ht="15.75" x14ac:dyDescent="0.25">
      <c r="A14" s="34" t="s">
        <v>86</v>
      </c>
      <c r="B14" s="33"/>
      <c r="C14" s="33"/>
      <c r="D14" s="33"/>
      <c r="E14" s="33"/>
      <c r="F14" s="33"/>
      <c r="G14" s="33"/>
      <c r="H14" s="33"/>
      <c r="K14" s="115" t="s">
        <v>38</v>
      </c>
      <c r="L14" s="115"/>
      <c r="M14" s="115"/>
      <c r="N14" s="49"/>
      <c r="O14" s="115" t="s">
        <v>39</v>
      </c>
      <c r="P14" s="115"/>
      <c r="Q14" s="115"/>
    </row>
    <row r="15" spans="1:17" ht="15.75" x14ac:dyDescent="0.25">
      <c r="A15" s="35" t="s">
        <v>42</v>
      </c>
      <c r="B15" s="36"/>
      <c r="C15" s="36"/>
      <c r="D15" s="36"/>
      <c r="E15" s="36"/>
      <c r="F15" s="36"/>
      <c r="G15" s="36"/>
      <c r="H15" s="36"/>
      <c r="K15" s="54">
        <v>2</v>
      </c>
      <c r="L15" s="54">
        <v>3</v>
      </c>
      <c r="M15" s="54" t="s">
        <v>41</v>
      </c>
      <c r="N15" s="49"/>
      <c r="O15" s="98">
        <v>2</v>
      </c>
      <c r="P15" s="98">
        <v>3</v>
      </c>
      <c r="Q15" s="54" t="s">
        <v>41</v>
      </c>
    </row>
    <row r="16" spans="1:17" ht="17.25" x14ac:dyDescent="0.25">
      <c r="A16" s="111">
        <v>1000</v>
      </c>
      <c r="B16" s="112">
        <f>ROUNDUP(1/((1/B$6)+(1/$A16))*1.3,0)</f>
        <v>83</v>
      </c>
      <c r="C16" s="112">
        <f>ROUNDUP(1/((1/C$6)+(1/$A16))*1.3,0)</f>
        <v>115</v>
      </c>
      <c r="D16" s="112">
        <f>ROUNDUP(1/((1/D$6)+(1/$A16))*1.3,0)</f>
        <v>120</v>
      </c>
      <c r="E16" s="113"/>
      <c r="F16" s="112">
        <f>ROUNDUP(1/((1/F$6)+(1/$A16))*1.3,0)</f>
        <v>115</v>
      </c>
      <c r="G16" s="112">
        <f>ROUNDUP(1/((1/G$6)+(1/$A16))*1.3,0)</f>
        <v>146</v>
      </c>
      <c r="H16" s="119">
        <f>ROUNDUP(1/((1/H$6)+(1/$A16))*1.3,0)</f>
        <v>148</v>
      </c>
      <c r="I16" s="26" t="s">
        <v>55</v>
      </c>
      <c r="J16" s="26" t="s">
        <v>56</v>
      </c>
      <c r="K16" s="49" t="s">
        <v>67</v>
      </c>
      <c r="L16" s="49" t="s">
        <v>67</v>
      </c>
      <c r="M16" s="49" t="s">
        <v>68</v>
      </c>
      <c r="N16" s="49"/>
      <c r="O16" s="49" t="s">
        <v>68</v>
      </c>
      <c r="P16" s="49" t="s">
        <v>68</v>
      </c>
      <c r="Q16" s="49" t="s">
        <v>68</v>
      </c>
    </row>
    <row r="17" spans="1:17" ht="15.75" x14ac:dyDescent="0.25">
      <c r="A17" s="71">
        <f>A16</f>
        <v>1000</v>
      </c>
      <c r="B17" s="72">
        <f>ROUNDUP(1/((($I$17/K$17))+$J$17),0)*1.3</f>
        <v>83.2</v>
      </c>
      <c r="C17" s="72">
        <f>ROUNDUP(1/((($I$17/L$17))+$J$17),0)*1.3</f>
        <v>115.7</v>
      </c>
      <c r="D17" s="72">
        <f>ROUNDUP(1/((($I$17/M$17))+$J$17),0)*1.3</f>
        <v>119.60000000000001</v>
      </c>
      <c r="E17" s="72"/>
      <c r="F17" s="72">
        <f>ROUNDUP(1/((($I$17/O$17))+$J$17),0)*1.3</f>
        <v>115.7</v>
      </c>
      <c r="G17" s="72">
        <f>ROUNDUP(1/((($I$17/P$17))+$J$17),0)*1.3</f>
        <v>145.6</v>
      </c>
      <c r="H17" s="72">
        <f>ROUNDUP(1/((($I$17/Q$17))+$J$17),0)*1.3</f>
        <v>148.20000000000002</v>
      </c>
      <c r="I17" s="53">
        <f>A17-1</f>
        <v>999</v>
      </c>
      <c r="J17" s="26">
        <f>1/A17</f>
        <v>1E-3</v>
      </c>
      <c r="K17" s="27">
        <f>$A$17*B6</f>
        <v>68000</v>
      </c>
      <c r="L17" s="27">
        <f>$A$17*C6</f>
        <v>97000</v>
      </c>
      <c r="M17" s="27">
        <f>$A$17*D6</f>
        <v>101000</v>
      </c>
      <c r="N17" s="27"/>
      <c r="O17" s="48">
        <f>$A$17*F6</f>
        <v>97000</v>
      </c>
      <c r="P17" s="48">
        <f>$A$17*G6</f>
        <v>126000</v>
      </c>
      <c r="Q17" s="48">
        <f>$A$17*H6</f>
        <v>128000</v>
      </c>
    </row>
    <row r="18" spans="1:17" ht="15.75" x14ac:dyDescent="0.25">
      <c r="A18" s="37" t="s">
        <v>59</v>
      </c>
      <c r="B18" s="28"/>
      <c r="C18" s="28"/>
      <c r="D18" s="28"/>
      <c r="E18" s="33"/>
      <c r="F18" s="28"/>
      <c r="G18" s="28"/>
      <c r="H18" s="28"/>
    </row>
    <row r="19" spans="1:17" ht="15.75" thickBot="1" x14ac:dyDescent="0.25">
      <c r="A19" s="38" t="s">
        <v>60</v>
      </c>
    </row>
    <row r="20" spans="1:17" ht="15" x14ac:dyDescent="0.2">
      <c r="A20" s="59" t="s">
        <v>61</v>
      </c>
      <c r="B20" s="79">
        <f>(B24)*((1/B23)*(1-1/B23))^0.5</f>
        <v>0.82250000000000001</v>
      </c>
      <c r="C20" s="80">
        <f>(C24)*((1/C23)*(1-1/C23))^0.5</f>
        <v>0.98</v>
      </c>
      <c r="D20" s="81">
        <f>(D24)*((1/D23)*(1-1/D23))^0.5</f>
        <v>1.0031488202433154</v>
      </c>
      <c r="E20" s="82"/>
      <c r="F20" s="79">
        <f>(F24)*((1/F23)*(1-1/F23))^0.5</f>
        <v>0.98</v>
      </c>
      <c r="G20" s="80">
        <f>(G24)*((1/G23)*(1-1/G23))^0.5</f>
        <v>1.121</v>
      </c>
      <c r="H20" s="81">
        <f>(H24)*((1/H23)*(1-1/H23))^0.5</f>
        <v>1.12854242277373</v>
      </c>
      <c r="J20" s="39"/>
      <c r="K20" s="25"/>
      <c r="L20" s="21"/>
      <c r="M20" s="21"/>
      <c r="N20" s="74"/>
      <c r="O20" s="74"/>
    </row>
    <row r="21" spans="1:17" x14ac:dyDescent="0.2">
      <c r="A21" s="59" t="s">
        <v>43</v>
      </c>
      <c r="B21" s="83">
        <v>0.1</v>
      </c>
      <c r="C21" s="52">
        <v>0.1</v>
      </c>
      <c r="D21" s="84">
        <v>0.1</v>
      </c>
      <c r="E21" s="52"/>
      <c r="F21" s="83">
        <v>0.1</v>
      </c>
      <c r="G21" s="52">
        <v>0.1</v>
      </c>
      <c r="H21" s="84">
        <v>0.1</v>
      </c>
      <c r="I21" s="118"/>
    </row>
    <row r="22" spans="1:17" x14ac:dyDescent="0.2">
      <c r="A22" s="59" t="s">
        <v>44</v>
      </c>
      <c r="B22" s="83">
        <v>1</v>
      </c>
      <c r="C22" s="52">
        <v>2</v>
      </c>
      <c r="D22" s="84">
        <v>3</v>
      </c>
      <c r="E22" s="52"/>
      <c r="F22" s="83">
        <v>1</v>
      </c>
      <c r="G22" s="52">
        <v>2</v>
      </c>
      <c r="H22" s="84">
        <v>3</v>
      </c>
      <c r="M22" s="22"/>
      <c r="N22" s="50"/>
      <c r="O22" s="50"/>
    </row>
    <row r="23" spans="1:17" x14ac:dyDescent="0.2">
      <c r="A23" s="59" t="s">
        <v>45</v>
      </c>
      <c r="B23" s="83">
        <v>2</v>
      </c>
      <c r="C23" s="52">
        <v>2</v>
      </c>
      <c r="D23" s="84">
        <v>3</v>
      </c>
      <c r="E23" s="52"/>
      <c r="F23" s="83">
        <v>2</v>
      </c>
      <c r="G23" s="52">
        <v>2</v>
      </c>
      <c r="H23" s="84">
        <v>3</v>
      </c>
    </row>
    <row r="24" spans="1:17" ht="13.5" thickBot="1" x14ac:dyDescent="0.25">
      <c r="A24" s="59" t="s">
        <v>57</v>
      </c>
      <c r="B24" s="85">
        <v>1.645</v>
      </c>
      <c r="C24" s="86">
        <v>1.96</v>
      </c>
      <c r="D24" s="87">
        <v>2.1280000000000001</v>
      </c>
      <c r="E24" s="88"/>
      <c r="F24" s="85">
        <v>1.96</v>
      </c>
      <c r="G24" s="86">
        <v>2.242</v>
      </c>
      <c r="H24" s="87">
        <v>2.3940000000000001</v>
      </c>
      <c r="J24" s="41"/>
      <c r="K24" s="23"/>
      <c r="L24" s="23"/>
      <c r="M24" s="24"/>
      <c r="N24" s="75"/>
      <c r="O24" s="75"/>
    </row>
    <row r="25" spans="1:17" ht="15.75" x14ac:dyDescent="0.25">
      <c r="A25" s="42" t="s">
        <v>62</v>
      </c>
    </row>
    <row r="26" spans="1:17" x14ac:dyDescent="0.2">
      <c r="A26" s="43" t="s">
        <v>46</v>
      </c>
    </row>
    <row r="27" spans="1:17" x14ac:dyDescent="0.2">
      <c r="A27" s="40" t="s">
        <v>63</v>
      </c>
    </row>
    <row r="28" spans="1:17" ht="15.75" x14ac:dyDescent="0.25">
      <c r="A28" s="40" t="s">
        <v>47</v>
      </c>
      <c r="B28" s="32"/>
      <c r="C28" s="32"/>
      <c r="D28" s="32"/>
      <c r="E28" s="55"/>
      <c r="F28" s="32"/>
      <c r="G28" s="32"/>
      <c r="H28" s="32"/>
    </row>
    <row r="29" spans="1:17" ht="15.75" x14ac:dyDescent="0.25">
      <c r="B29" s="32"/>
      <c r="C29" s="32"/>
      <c r="D29" s="32"/>
      <c r="E29" s="55"/>
      <c r="F29" s="32"/>
      <c r="G29" s="32"/>
      <c r="H29" s="32"/>
    </row>
    <row r="30" spans="1:17" ht="15.75" x14ac:dyDescent="0.25">
      <c r="B30" s="32"/>
      <c r="C30" s="32"/>
      <c r="D30" s="32"/>
      <c r="E30" s="55"/>
      <c r="F30" s="32"/>
      <c r="G30" s="32"/>
      <c r="H30" s="32"/>
    </row>
    <row r="32" spans="1:17" ht="20.25" x14ac:dyDescent="0.25">
      <c r="A32" s="117" t="s">
        <v>71</v>
      </c>
      <c r="B32" s="117"/>
      <c r="C32" s="117"/>
      <c r="D32" s="117"/>
      <c r="E32" s="117"/>
      <c r="F32" s="117"/>
      <c r="G32" s="117"/>
      <c r="H32" s="117"/>
    </row>
    <row r="33" spans="1:12" ht="17.25" x14ac:dyDescent="0.25">
      <c r="A33" s="60" t="s">
        <v>67</v>
      </c>
      <c r="B33" s="55"/>
      <c r="C33" s="55"/>
      <c r="D33" s="55"/>
      <c r="E33" s="55"/>
      <c r="F33" s="55"/>
      <c r="G33" s="55"/>
      <c r="H33" s="55"/>
      <c r="L33" s="93" t="s">
        <v>84</v>
      </c>
    </row>
    <row r="34" spans="1:12" ht="15.75" x14ac:dyDescent="0.25">
      <c r="A34" s="56"/>
      <c r="B34" s="116" t="s">
        <v>37</v>
      </c>
      <c r="C34" s="116"/>
      <c r="D34" s="116"/>
      <c r="E34" s="116"/>
      <c r="F34" s="116"/>
      <c r="G34" s="116"/>
      <c r="H34" s="116"/>
    </row>
    <row r="35" spans="1:12" ht="15.75" x14ac:dyDescent="0.25">
      <c r="A35" s="55"/>
      <c r="B35" s="116" t="s">
        <v>38</v>
      </c>
      <c r="C35" s="116"/>
      <c r="D35" s="116"/>
      <c r="E35" s="55"/>
      <c r="F35" s="116" t="s">
        <v>39</v>
      </c>
      <c r="G35" s="116"/>
      <c r="H35" s="116"/>
    </row>
    <row r="36" spans="1:12" ht="16.5" thickBot="1" x14ac:dyDescent="0.3">
      <c r="A36" s="32" t="s">
        <v>40</v>
      </c>
      <c r="B36" s="57" t="s">
        <v>72</v>
      </c>
      <c r="C36" s="57" t="s">
        <v>73</v>
      </c>
      <c r="D36" s="57" t="s">
        <v>74</v>
      </c>
      <c r="E36" s="55"/>
      <c r="F36" s="57" t="s">
        <v>72</v>
      </c>
      <c r="G36" s="57" t="s">
        <v>73</v>
      </c>
      <c r="H36" s="57" t="s">
        <v>74</v>
      </c>
      <c r="I36" s="26" t="s">
        <v>55</v>
      </c>
      <c r="J36" s="26" t="s">
        <v>56</v>
      </c>
    </row>
    <row r="37" spans="1:12" ht="26.45" customHeight="1" x14ac:dyDescent="0.3">
      <c r="A37" s="67" t="s">
        <v>64</v>
      </c>
      <c r="B37" s="68">
        <f>ROUNDUP(B63/(B64^2),0)</f>
        <v>271</v>
      </c>
      <c r="C37" s="68">
        <f>ROUNDUP(C63/(C64^2),0)</f>
        <v>385</v>
      </c>
      <c r="D37" s="68">
        <f>ROUNDUP(D63/(D64^2),0)</f>
        <v>403</v>
      </c>
      <c r="E37" s="68"/>
      <c r="F37" s="68">
        <f>ROUNDUP(F63/(F64^2),0)</f>
        <v>385</v>
      </c>
      <c r="G37" s="68">
        <f>ROUNDUP(G63/(G64^2),0)</f>
        <v>503</v>
      </c>
      <c r="H37" s="68">
        <f>ROUNDUP(H63/(H64^2),0)</f>
        <v>510</v>
      </c>
      <c r="I37" s="94" t="s">
        <v>66</v>
      </c>
      <c r="J37" s="95" t="s">
        <v>66</v>
      </c>
    </row>
    <row r="38" spans="1:12" ht="15.75" x14ac:dyDescent="0.25">
      <c r="A38" s="61">
        <v>100000</v>
      </c>
      <c r="B38" s="28">
        <f>$A38*B$37</f>
        <v>27100000</v>
      </c>
      <c r="C38" s="28">
        <f t="shared" ref="C38:H38" si="3">$A38*C$37</f>
        <v>38500000</v>
      </c>
      <c r="D38" s="28">
        <f t="shared" si="3"/>
        <v>40300000</v>
      </c>
      <c r="E38" s="28"/>
      <c r="F38" s="28">
        <f>$A38*F$37</f>
        <v>38500000</v>
      </c>
      <c r="G38" s="28">
        <f t="shared" si="3"/>
        <v>50300000</v>
      </c>
      <c r="H38" s="28">
        <f t="shared" si="3"/>
        <v>51000000</v>
      </c>
      <c r="I38" s="44">
        <f t="shared" ref="I38:I43" si="4">A38-1</f>
        <v>99999</v>
      </c>
      <c r="J38" s="96">
        <f t="shared" ref="J38:J43" si="5">1/A38</f>
        <v>1.0000000000000001E-5</v>
      </c>
    </row>
    <row r="39" spans="1:12" ht="15.75" x14ac:dyDescent="0.25">
      <c r="A39" s="61">
        <v>10000</v>
      </c>
      <c r="B39" s="28">
        <f t="shared" ref="B39:H43" si="6">$A39*B$37</f>
        <v>2710000</v>
      </c>
      <c r="C39" s="28">
        <f t="shared" si="6"/>
        <v>3850000</v>
      </c>
      <c r="D39" s="28">
        <f t="shared" si="6"/>
        <v>4030000</v>
      </c>
      <c r="E39" s="28"/>
      <c r="F39" s="28">
        <f t="shared" si="6"/>
        <v>3850000</v>
      </c>
      <c r="G39" s="28">
        <f t="shared" si="6"/>
        <v>5030000</v>
      </c>
      <c r="H39" s="28">
        <f t="shared" si="6"/>
        <v>5100000</v>
      </c>
      <c r="I39" s="44">
        <f t="shared" si="4"/>
        <v>9999</v>
      </c>
      <c r="J39" s="96">
        <f t="shared" si="5"/>
        <v>1E-4</v>
      </c>
    </row>
    <row r="40" spans="1:12" ht="15.75" x14ac:dyDescent="0.25">
      <c r="A40" s="61">
        <v>5000</v>
      </c>
      <c r="B40" s="28">
        <f t="shared" si="6"/>
        <v>1355000</v>
      </c>
      <c r="C40" s="28">
        <f t="shared" si="6"/>
        <v>1925000</v>
      </c>
      <c r="D40" s="28">
        <f t="shared" si="6"/>
        <v>2015000</v>
      </c>
      <c r="E40" s="28"/>
      <c r="F40" s="28">
        <f t="shared" si="6"/>
        <v>1925000</v>
      </c>
      <c r="G40" s="28">
        <f t="shared" si="6"/>
        <v>2515000</v>
      </c>
      <c r="H40" s="28">
        <f t="shared" si="6"/>
        <v>2550000</v>
      </c>
      <c r="I40" s="44">
        <f t="shared" si="4"/>
        <v>4999</v>
      </c>
      <c r="J40" s="96">
        <f t="shared" si="5"/>
        <v>2.0000000000000001E-4</v>
      </c>
    </row>
    <row r="41" spans="1:12" ht="15.75" x14ac:dyDescent="0.25">
      <c r="A41" s="61">
        <v>2500</v>
      </c>
      <c r="B41" s="28">
        <f t="shared" si="6"/>
        <v>677500</v>
      </c>
      <c r="C41" s="28">
        <f t="shared" si="6"/>
        <v>962500</v>
      </c>
      <c r="D41" s="28">
        <f t="shared" si="6"/>
        <v>1007500</v>
      </c>
      <c r="E41" s="28"/>
      <c r="F41" s="28">
        <f t="shared" si="6"/>
        <v>962500</v>
      </c>
      <c r="G41" s="28">
        <f t="shared" si="6"/>
        <v>1257500</v>
      </c>
      <c r="H41" s="28">
        <f t="shared" si="6"/>
        <v>1275000</v>
      </c>
      <c r="I41" s="44">
        <f t="shared" si="4"/>
        <v>2499</v>
      </c>
      <c r="J41" s="96">
        <f t="shared" si="5"/>
        <v>4.0000000000000002E-4</v>
      </c>
    </row>
    <row r="42" spans="1:12" ht="15.75" x14ac:dyDescent="0.25">
      <c r="A42" s="61">
        <v>1000</v>
      </c>
      <c r="B42" s="28">
        <f t="shared" si="6"/>
        <v>271000</v>
      </c>
      <c r="C42" s="28">
        <f t="shared" si="6"/>
        <v>385000</v>
      </c>
      <c r="D42" s="28">
        <f t="shared" si="6"/>
        <v>403000</v>
      </c>
      <c r="E42" s="28"/>
      <c r="F42" s="28">
        <f t="shared" si="6"/>
        <v>385000</v>
      </c>
      <c r="G42" s="28">
        <f t="shared" si="6"/>
        <v>503000</v>
      </c>
      <c r="H42" s="28">
        <f t="shared" si="6"/>
        <v>510000</v>
      </c>
      <c r="I42" s="44">
        <f t="shared" si="4"/>
        <v>999</v>
      </c>
      <c r="J42" s="96">
        <f t="shared" si="5"/>
        <v>1E-3</v>
      </c>
    </row>
    <row r="43" spans="1:12" ht="16.5" thickBot="1" x14ac:dyDescent="0.3">
      <c r="A43" s="62">
        <v>500</v>
      </c>
      <c r="B43" s="63">
        <f t="shared" si="6"/>
        <v>135500</v>
      </c>
      <c r="C43" s="63">
        <f t="shared" si="6"/>
        <v>192500</v>
      </c>
      <c r="D43" s="63">
        <f t="shared" si="6"/>
        <v>201500</v>
      </c>
      <c r="E43" s="63"/>
      <c r="F43" s="63">
        <f t="shared" si="6"/>
        <v>192500</v>
      </c>
      <c r="G43" s="63">
        <f t="shared" si="6"/>
        <v>251500</v>
      </c>
      <c r="H43" s="63">
        <f t="shared" si="6"/>
        <v>255000</v>
      </c>
      <c r="I43" s="45">
        <f t="shared" si="4"/>
        <v>499</v>
      </c>
      <c r="J43" s="97">
        <f t="shared" si="5"/>
        <v>2E-3</v>
      </c>
    </row>
    <row r="44" spans="1:12" ht="15.75" x14ac:dyDescent="0.25">
      <c r="A44" s="46" t="s">
        <v>58</v>
      </c>
      <c r="B44" s="47">
        <v>0.1</v>
      </c>
      <c r="C44" s="47">
        <v>0.1</v>
      </c>
      <c r="D44" s="47">
        <v>0.1</v>
      </c>
      <c r="E44" s="47"/>
      <c r="F44" s="47">
        <v>0.05</v>
      </c>
      <c r="G44" s="47">
        <v>0.05</v>
      </c>
      <c r="H44" s="47">
        <v>0.05</v>
      </c>
    </row>
    <row r="45" spans="1:12" ht="15.75" x14ac:dyDescent="0.25">
      <c r="A45" s="46"/>
      <c r="B45" s="47"/>
      <c r="C45" s="47"/>
      <c r="D45" s="47"/>
      <c r="E45" s="47"/>
      <c r="F45" s="47"/>
      <c r="G45" s="47"/>
      <c r="H45" s="47"/>
    </row>
    <row r="46" spans="1:12" ht="15.75" x14ac:dyDescent="0.25">
      <c r="A46" s="56"/>
      <c r="B46" s="116" t="s">
        <v>37</v>
      </c>
      <c r="C46" s="116"/>
      <c r="D46" s="116"/>
      <c r="E46" s="116"/>
      <c r="F46" s="116"/>
      <c r="G46" s="116"/>
      <c r="H46" s="116"/>
    </row>
    <row r="47" spans="1:12" ht="15.75" x14ac:dyDescent="0.25">
      <c r="A47" s="55"/>
      <c r="B47" s="116" t="s">
        <v>38</v>
      </c>
      <c r="C47" s="116"/>
      <c r="D47" s="116"/>
      <c r="E47" s="55"/>
      <c r="F47" s="116" t="s">
        <v>39</v>
      </c>
      <c r="G47" s="116"/>
      <c r="H47" s="116"/>
    </row>
    <row r="48" spans="1:12" ht="15.75" x14ac:dyDescent="0.25">
      <c r="A48" s="32" t="s">
        <v>40</v>
      </c>
      <c r="B48" s="57" t="s">
        <v>72</v>
      </c>
      <c r="C48" s="57" t="s">
        <v>73</v>
      </c>
      <c r="D48" s="57" t="s">
        <v>74</v>
      </c>
      <c r="E48" s="55"/>
      <c r="F48" s="57" t="s">
        <v>72</v>
      </c>
      <c r="G48" s="57" t="s">
        <v>73</v>
      </c>
      <c r="H48" s="57" t="s">
        <v>74</v>
      </c>
      <c r="I48" s="50"/>
      <c r="J48" s="50"/>
    </row>
    <row r="49" spans="1:22" ht="27" customHeight="1" x14ac:dyDescent="0.3">
      <c r="A49" s="69" t="s">
        <v>64</v>
      </c>
      <c r="B49" s="70">
        <f>B37</f>
        <v>271</v>
      </c>
      <c r="C49" s="70">
        <f t="shared" ref="C49:H49" si="7">C37</f>
        <v>385</v>
      </c>
      <c r="D49" s="70">
        <f t="shared" si="7"/>
        <v>403</v>
      </c>
      <c r="E49" s="70"/>
      <c r="F49" s="70">
        <f t="shared" si="7"/>
        <v>385</v>
      </c>
      <c r="G49" s="70">
        <f t="shared" si="7"/>
        <v>503</v>
      </c>
      <c r="H49" s="70">
        <f t="shared" si="7"/>
        <v>510</v>
      </c>
      <c r="I49" s="28"/>
      <c r="J49" s="28"/>
    </row>
    <row r="50" spans="1:22" ht="15.75" x14ac:dyDescent="0.25">
      <c r="A50" s="29">
        <v>100000</v>
      </c>
      <c r="B50" s="28">
        <f t="shared" ref="B50:B55" si="8">ROUNDUP(1/(((I38/B38))+J38),0)</f>
        <v>271</v>
      </c>
      <c r="C50" s="28">
        <f t="shared" ref="C50:C55" si="9">ROUNDUP(1/(((I38/C38))+J38),0)</f>
        <v>384</v>
      </c>
      <c r="D50" s="28">
        <f t="shared" ref="D50:D55" si="10">ROUNDUP(1/(((I38/D38))+J38),0)</f>
        <v>402</v>
      </c>
      <c r="E50" s="28"/>
      <c r="F50" s="28">
        <f t="shared" ref="F50:F55" si="11">ROUNDUP(1/(((I38/F38))+J38),0)</f>
        <v>384</v>
      </c>
      <c r="G50" s="28">
        <f t="shared" ref="G50:G55" si="12">ROUNDUP(1/(((I38/G38))+J38),0)</f>
        <v>501</v>
      </c>
      <c r="H50" s="28">
        <f t="shared" ref="H50:H55" si="13">ROUNDUP(1/(((I38/H38))+J38),0)</f>
        <v>508</v>
      </c>
      <c r="I50" s="51"/>
      <c r="J50" s="52"/>
    </row>
    <row r="51" spans="1:22" ht="15.75" x14ac:dyDescent="0.25">
      <c r="A51" s="29">
        <v>10000</v>
      </c>
      <c r="B51" s="28">
        <f t="shared" si="8"/>
        <v>264</v>
      </c>
      <c r="C51" s="28">
        <f t="shared" si="9"/>
        <v>371</v>
      </c>
      <c r="D51" s="28">
        <f t="shared" si="10"/>
        <v>388</v>
      </c>
      <c r="E51" s="28"/>
      <c r="F51" s="28">
        <f t="shared" si="11"/>
        <v>371</v>
      </c>
      <c r="G51" s="28">
        <f t="shared" si="12"/>
        <v>479</v>
      </c>
      <c r="H51" s="28">
        <f t="shared" si="13"/>
        <v>486</v>
      </c>
      <c r="I51" s="51"/>
      <c r="J51" s="52"/>
    </row>
    <row r="52" spans="1:22" ht="15.75" x14ac:dyDescent="0.25">
      <c r="A52" s="29">
        <v>5000</v>
      </c>
      <c r="B52" s="28">
        <f t="shared" si="8"/>
        <v>258</v>
      </c>
      <c r="C52" s="28">
        <f t="shared" si="9"/>
        <v>358</v>
      </c>
      <c r="D52" s="28">
        <f t="shared" si="10"/>
        <v>374</v>
      </c>
      <c r="E52" s="28"/>
      <c r="F52" s="28">
        <f t="shared" si="11"/>
        <v>358</v>
      </c>
      <c r="G52" s="28">
        <f t="shared" si="12"/>
        <v>458</v>
      </c>
      <c r="H52" s="28">
        <f t="shared" si="13"/>
        <v>463</v>
      </c>
      <c r="I52" s="51"/>
      <c r="J52" s="52"/>
    </row>
    <row r="53" spans="1:22" ht="15.75" x14ac:dyDescent="0.25">
      <c r="A53" s="29">
        <v>2500</v>
      </c>
      <c r="B53" s="28">
        <f t="shared" si="8"/>
        <v>245</v>
      </c>
      <c r="C53" s="28">
        <f t="shared" si="9"/>
        <v>334</v>
      </c>
      <c r="D53" s="28">
        <f t="shared" si="10"/>
        <v>348</v>
      </c>
      <c r="E53" s="28"/>
      <c r="F53" s="28">
        <f t="shared" si="11"/>
        <v>334</v>
      </c>
      <c r="G53" s="28">
        <f t="shared" si="12"/>
        <v>419</v>
      </c>
      <c r="H53" s="28">
        <f t="shared" si="13"/>
        <v>424</v>
      </c>
      <c r="I53" s="51"/>
      <c r="J53" s="52"/>
    </row>
    <row r="54" spans="1:22" ht="15.75" x14ac:dyDescent="0.25">
      <c r="A54" s="29">
        <v>1000</v>
      </c>
      <c r="B54" s="28">
        <f t="shared" si="8"/>
        <v>214</v>
      </c>
      <c r="C54" s="28">
        <f t="shared" si="9"/>
        <v>279</v>
      </c>
      <c r="D54" s="28">
        <f t="shared" si="10"/>
        <v>288</v>
      </c>
      <c r="E54" s="28"/>
      <c r="F54" s="28">
        <f t="shared" si="11"/>
        <v>279</v>
      </c>
      <c r="G54" s="28">
        <f t="shared" si="12"/>
        <v>335</v>
      </c>
      <c r="H54" s="28">
        <f t="shared" si="13"/>
        <v>338</v>
      </c>
      <c r="I54" s="51"/>
      <c r="J54" s="52"/>
      <c r="K54" s="27"/>
      <c r="L54" s="27"/>
      <c r="M54" s="27"/>
      <c r="Q54" s="27"/>
      <c r="R54" s="27"/>
      <c r="S54" s="27"/>
      <c r="T54" s="27"/>
      <c r="U54" s="27"/>
      <c r="V54" s="27"/>
    </row>
    <row r="55" spans="1:22" ht="16.5" thickBot="1" x14ac:dyDescent="0.3">
      <c r="A55" s="64">
        <v>500</v>
      </c>
      <c r="B55" s="63">
        <f t="shared" si="8"/>
        <v>176</v>
      </c>
      <c r="C55" s="63">
        <f t="shared" si="9"/>
        <v>218</v>
      </c>
      <c r="D55" s="63">
        <f t="shared" si="10"/>
        <v>224</v>
      </c>
      <c r="E55" s="63"/>
      <c r="F55" s="63">
        <f t="shared" si="11"/>
        <v>218</v>
      </c>
      <c r="G55" s="63">
        <f t="shared" si="12"/>
        <v>251</v>
      </c>
      <c r="H55" s="63">
        <f t="shared" si="13"/>
        <v>253</v>
      </c>
      <c r="I55" s="51"/>
      <c r="J55" s="52"/>
      <c r="K55" s="27"/>
      <c r="L55" s="27"/>
      <c r="M55" s="27"/>
      <c r="Q55" s="27"/>
      <c r="R55" s="27"/>
      <c r="S55" s="27"/>
      <c r="T55" s="27"/>
      <c r="U55" s="27"/>
      <c r="V55" s="27"/>
    </row>
    <row r="56" spans="1:22" ht="15.75" x14ac:dyDescent="0.25">
      <c r="A56" s="46" t="s">
        <v>58</v>
      </c>
      <c r="B56" s="47">
        <v>0.1</v>
      </c>
      <c r="C56" s="47">
        <v>0.1</v>
      </c>
      <c r="D56" s="47">
        <v>0.1</v>
      </c>
      <c r="E56" s="47"/>
      <c r="F56" s="47">
        <v>0.05</v>
      </c>
      <c r="G56" s="47">
        <v>0.05</v>
      </c>
      <c r="H56" s="47">
        <v>0.05</v>
      </c>
      <c r="I56" s="40"/>
      <c r="J56" s="40"/>
      <c r="K56" s="114" t="s">
        <v>37</v>
      </c>
      <c r="L56" s="114"/>
      <c r="M56" s="114"/>
      <c r="N56" s="114"/>
      <c r="O56" s="114"/>
      <c r="P56" s="114"/>
      <c r="Q56" s="114"/>
      <c r="R56" s="27"/>
      <c r="S56" s="27"/>
      <c r="T56" s="27"/>
      <c r="U56" s="27"/>
      <c r="V56" s="27"/>
    </row>
    <row r="57" spans="1:22" ht="15.75" x14ac:dyDescent="0.25">
      <c r="A57" s="46"/>
      <c r="B57" s="47"/>
      <c r="C57" s="47"/>
      <c r="D57" s="47"/>
      <c r="E57" s="47"/>
      <c r="F57" s="47"/>
      <c r="G57" s="47"/>
      <c r="H57" s="47"/>
      <c r="K57" s="115" t="s">
        <v>38</v>
      </c>
      <c r="L57" s="115"/>
      <c r="M57" s="115"/>
      <c r="N57" s="49"/>
      <c r="O57" s="115" t="s">
        <v>39</v>
      </c>
      <c r="P57" s="115"/>
      <c r="Q57" s="115"/>
      <c r="R57" s="27"/>
      <c r="S57" s="27"/>
      <c r="T57" s="27"/>
      <c r="U57" s="27"/>
      <c r="V57" s="27"/>
    </row>
    <row r="58" spans="1:22" ht="15.75" x14ac:dyDescent="0.25">
      <c r="A58" s="34" t="s">
        <v>86</v>
      </c>
      <c r="B58" s="33"/>
      <c r="C58" s="33"/>
      <c r="D58" s="33"/>
      <c r="E58" s="33"/>
      <c r="F58" s="33"/>
      <c r="G58" s="33"/>
      <c r="H58" s="33"/>
      <c r="K58" s="54">
        <v>2</v>
      </c>
      <c r="L58" s="54">
        <v>3</v>
      </c>
      <c r="M58" s="54" t="s">
        <v>41</v>
      </c>
      <c r="N58" s="49"/>
      <c r="O58" s="98">
        <v>2</v>
      </c>
      <c r="P58" s="98">
        <v>3</v>
      </c>
      <c r="Q58" s="54" t="s">
        <v>41</v>
      </c>
      <c r="R58" s="27"/>
      <c r="S58" s="27"/>
      <c r="T58" s="27"/>
      <c r="U58" s="27"/>
      <c r="V58" s="27"/>
    </row>
    <row r="59" spans="1:22" ht="17.25" x14ac:dyDescent="0.25">
      <c r="A59" s="35" t="s">
        <v>42</v>
      </c>
      <c r="B59" s="36"/>
      <c r="C59" s="36"/>
      <c r="D59" s="36"/>
      <c r="E59" s="36"/>
      <c r="F59" s="36"/>
      <c r="G59" s="36"/>
      <c r="H59" s="36"/>
      <c r="I59" s="26" t="s">
        <v>55</v>
      </c>
      <c r="J59" s="26" t="s">
        <v>56</v>
      </c>
      <c r="K59" s="49" t="s">
        <v>67</v>
      </c>
      <c r="L59" s="49" t="s">
        <v>67</v>
      </c>
      <c r="M59" s="49" t="s">
        <v>68</v>
      </c>
      <c r="N59" s="49"/>
      <c r="O59" s="49" t="s">
        <v>68</v>
      </c>
      <c r="P59" s="49" t="s">
        <v>68</v>
      </c>
      <c r="Q59" s="49" t="s">
        <v>68</v>
      </c>
      <c r="R59" s="27"/>
      <c r="S59" s="27"/>
      <c r="T59" s="27"/>
      <c r="U59" s="27"/>
      <c r="V59" s="27"/>
    </row>
    <row r="60" spans="1:22" ht="15.75" x14ac:dyDescent="0.25">
      <c r="A60" s="71">
        <v>1000</v>
      </c>
      <c r="B60" s="72">
        <f>ROUNDUP(1/((($I$60/K$60))+$J$60),0)*1.3</f>
        <v>278.2</v>
      </c>
      <c r="C60" s="72">
        <f>ROUNDUP(1/((($I$60/L$60))+$J$60),0)*1.3</f>
        <v>362.7</v>
      </c>
      <c r="D60" s="72">
        <f>ROUNDUP(1/((($I$60/M$60))+$J$60),0)*1.3</f>
        <v>374.40000000000003</v>
      </c>
      <c r="E60" s="73"/>
      <c r="F60" s="72">
        <f>ROUNDUP(1/((($I$60/O$60))+$J$60),0)*1.3</f>
        <v>362.7</v>
      </c>
      <c r="G60" s="72">
        <f>ROUNDUP(1/((($I$60/P$60))+$J$60),0)*1.3</f>
        <v>435.5</v>
      </c>
      <c r="H60" s="72">
        <f>ROUNDUP(1/((($I$60/Q$60))+$J$60),0)*1.3</f>
        <v>439.40000000000003</v>
      </c>
      <c r="I60" s="53">
        <f>A60-1</f>
        <v>999</v>
      </c>
      <c r="J60" s="26">
        <f>1/A60</f>
        <v>1E-3</v>
      </c>
      <c r="K60" s="27">
        <f>$A$60*B49</f>
        <v>271000</v>
      </c>
      <c r="L60" s="27">
        <f>$A$60*C49</f>
        <v>385000</v>
      </c>
      <c r="M60" s="27">
        <f>$A$60*D49</f>
        <v>403000</v>
      </c>
      <c r="O60" s="26">
        <f>$A$60*F49</f>
        <v>385000</v>
      </c>
      <c r="P60" s="26">
        <f>$A$60*G49</f>
        <v>503000</v>
      </c>
      <c r="Q60" s="27">
        <f>$A$60*H49</f>
        <v>510000</v>
      </c>
      <c r="R60" s="27"/>
      <c r="S60" s="27"/>
      <c r="T60" s="27"/>
      <c r="U60" s="27"/>
      <c r="V60" s="27"/>
    </row>
    <row r="61" spans="1:22" ht="15.75" x14ac:dyDescent="0.25">
      <c r="A61" s="37" t="s">
        <v>59</v>
      </c>
      <c r="B61" s="28"/>
      <c r="C61" s="28"/>
      <c r="D61" s="28"/>
      <c r="E61" s="33"/>
      <c r="F61" s="28"/>
      <c r="G61" s="28"/>
      <c r="H61" s="28"/>
      <c r="K61" s="27"/>
      <c r="L61" s="27"/>
      <c r="M61" s="27"/>
      <c r="Q61" s="27"/>
      <c r="R61" s="27"/>
      <c r="S61" s="27"/>
      <c r="T61" s="27"/>
      <c r="U61" s="27"/>
      <c r="V61" s="27"/>
    </row>
    <row r="62" spans="1:22" ht="15.75" thickBot="1" x14ac:dyDescent="0.25">
      <c r="A62" s="38" t="s">
        <v>60</v>
      </c>
      <c r="K62" s="27"/>
      <c r="L62" s="27"/>
      <c r="M62" s="27"/>
      <c r="Q62" s="27"/>
      <c r="R62" s="27"/>
      <c r="S62" s="27"/>
      <c r="T62" s="27"/>
      <c r="U62" s="27"/>
      <c r="V62" s="27"/>
    </row>
    <row r="63" spans="1:22" ht="15" x14ac:dyDescent="0.2">
      <c r="A63" s="59" t="s">
        <v>65</v>
      </c>
      <c r="B63" s="99">
        <f>(B67^2)*B68*(1-B68)</f>
        <v>0.67638586352385355</v>
      </c>
      <c r="C63" s="100">
        <f>(C67^2)*C68*(1-C68)</f>
        <v>0.96036470517353112</v>
      </c>
      <c r="D63" s="101">
        <f>(D67^2)*D68*(1-D68)</f>
        <v>1.0063503374972054</v>
      </c>
      <c r="E63" s="102"/>
      <c r="F63" s="99">
        <f>(F67^2)*F68*(1-F68)</f>
        <v>0.96036470517353112</v>
      </c>
      <c r="G63" s="100">
        <f>(G67^2)*G68*(1-G68)</f>
        <v>1.2559715468287214</v>
      </c>
      <c r="H63" s="101">
        <f>(H67^2)*H68*(1-H68)</f>
        <v>1.2735865070975707</v>
      </c>
    </row>
    <row r="64" spans="1:22" x14ac:dyDescent="0.2">
      <c r="A64" s="59" t="s">
        <v>43</v>
      </c>
      <c r="B64" s="103">
        <v>0.05</v>
      </c>
      <c r="C64" s="50">
        <v>0.05</v>
      </c>
      <c r="D64" s="104">
        <v>0.05</v>
      </c>
      <c r="E64" s="50"/>
      <c r="F64" s="103">
        <v>0.05</v>
      </c>
      <c r="G64" s="50">
        <v>0.05</v>
      </c>
      <c r="H64" s="104">
        <v>0.05</v>
      </c>
    </row>
    <row r="65" spans="1:9" x14ac:dyDescent="0.2">
      <c r="A65" s="59" t="s">
        <v>44</v>
      </c>
      <c r="B65" s="103">
        <v>1</v>
      </c>
      <c r="C65" s="50">
        <v>2</v>
      </c>
      <c r="D65" s="104">
        <v>3</v>
      </c>
      <c r="E65" s="50"/>
      <c r="F65" s="103">
        <v>1</v>
      </c>
      <c r="G65" s="50">
        <v>2</v>
      </c>
      <c r="H65" s="104">
        <v>3</v>
      </c>
    </row>
    <row r="66" spans="1:9" x14ac:dyDescent="0.2">
      <c r="A66" s="59" t="s">
        <v>45</v>
      </c>
      <c r="B66" s="103">
        <v>2</v>
      </c>
      <c r="C66" s="50">
        <v>2</v>
      </c>
      <c r="D66" s="104">
        <v>3</v>
      </c>
      <c r="E66" s="50"/>
      <c r="F66" s="103">
        <v>2</v>
      </c>
      <c r="G66" s="50">
        <v>2</v>
      </c>
      <c r="H66" s="104">
        <v>3</v>
      </c>
    </row>
    <row r="67" spans="1:9" x14ac:dyDescent="0.2">
      <c r="A67" s="59" t="s">
        <v>57</v>
      </c>
      <c r="B67" s="105">
        <f>-(NORMSINV(B44/(2*B65)))</f>
        <v>1.6448536269514726</v>
      </c>
      <c r="C67" s="75">
        <f>-(NORMSINV(C44/(2*C65)))</f>
        <v>1.9599639845400538</v>
      </c>
      <c r="D67" s="106">
        <f>-(NORMSINV(D44/(2*D65)))</f>
        <v>2.128045234184984</v>
      </c>
      <c r="E67" s="75"/>
      <c r="F67" s="105">
        <f>-NORMSINV(F44/(2*F65))</f>
        <v>1.9599639845400538</v>
      </c>
      <c r="G67" s="75">
        <f>-NORMSINV(G44/(2*G65))</f>
        <v>2.2414027276049446</v>
      </c>
      <c r="H67" s="106">
        <f>-NORMSINV(H44/(2*H65))</f>
        <v>2.3939797998185091</v>
      </c>
    </row>
    <row r="68" spans="1:9" ht="13.5" thickBot="1" x14ac:dyDescent="0.25">
      <c r="A68" s="59" t="s">
        <v>54</v>
      </c>
      <c r="B68" s="107">
        <f>1/B66</f>
        <v>0.5</v>
      </c>
      <c r="C68" s="108">
        <f>1/C66</f>
        <v>0.5</v>
      </c>
      <c r="D68" s="109">
        <f>1/D66</f>
        <v>0.33333333333333331</v>
      </c>
      <c r="E68" s="110"/>
      <c r="F68" s="107">
        <f>1/F66</f>
        <v>0.5</v>
      </c>
      <c r="G68" s="108">
        <f>1/G66</f>
        <v>0.5</v>
      </c>
      <c r="H68" s="109">
        <f>1/H66</f>
        <v>0.33333333333333331</v>
      </c>
    </row>
    <row r="69" spans="1:9" ht="15.75" x14ac:dyDescent="0.25">
      <c r="A69" s="42" t="s">
        <v>62</v>
      </c>
    </row>
    <row r="70" spans="1:9" x14ac:dyDescent="0.2">
      <c r="A70" s="43" t="s">
        <v>46</v>
      </c>
    </row>
    <row r="71" spans="1:9" x14ac:dyDescent="0.2">
      <c r="A71" s="40" t="s">
        <v>63</v>
      </c>
    </row>
    <row r="72" spans="1:9" ht="15.75" x14ac:dyDescent="0.25">
      <c r="A72" s="40" t="s">
        <v>47</v>
      </c>
      <c r="B72" s="32"/>
      <c r="C72" s="32"/>
      <c r="D72" s="32"/>
      <c r="E72" s="55"/>
      <c r="F72" s="32"/>
      <c r="G72" s="32"/>
      <c r="H72" s="32"/>
    </row>
    <row r="76" spans="1:9" x14ac:dyDescent="0.2">
      <c r="B76" s="89"/>
      <c r="C76" s="89"/>
      <c r="D76" s="89"/>
      <c r="E76" s="89"/>
      <c r="F76" s="89"/>
      <c r="G76" s="89"/>
      <c r="H76" s="89"/>
      <c r="I76" s="89"/>
    </row>
    <row r="77" spans="1:9" x14ac:dyDescent="0.2">
      <c r="B77" s="89"/>
      <c r="C77" s="89"/>
      <c r="D77" s="89"/>
      <c r="E77" s="89"/>
      <c r="F77" s="89"/>
      <c r="G77" s="89"/>
      <c r="H77" s="89"/>
      <c r="I77" s="89"/>
    </row>
    <row r="78" spans="1:9" x14ac:dyDescent="0.2">
      <c r="B78" s="89"/>
      <c r="C78" s="89"/>
      <c r="D78" s="89"/>
      <c r="E78" s="89"/>
      <c r="F78" s="89"/>
      <c r="G78" s="89"/>
      <c r="H78" s="89"/>
      <c r="I78" s="89"/>
    </row>
    <row r="79" spans="1:9" x14ac:dyDescent="0.2">
      <c r="B79" s="89"/>
      <c r="C79" s="89"/>
      <c r="D79" s="89"/>
      <c r="E79" s="89"/>
      <c r="F79" s="89"/>
      <c r="G79" s="89"/>
      <c r="H79" s="89"/>
      <c r="I79" s="89"/>
    </row>
    <row r="80" spans="1:9" x14ac:dyDescent="0.2">
      <c r="B80" s="89"/>
      <c r="C80" s="89"/>
      <c r="D80" s="89"/>
      <c r="E80" s="89"/>
      <c r="F80" s="89"/>
      <c r="G80" s="89"/>
      <c r="H80" s="89"/>
      <c r="I80" s="89"/>
    </row>
    <row r="81" spans="2:9" x14ac:dyDescent="0.2">
      <c r="B81" s="89"/>
      <c r="C81" s="89"/>
      <c r="D81" s="89"/>
      <c r="E81" s="89"/>
      <c r="F81" s="89"/>
      <c r="G81" s="89"/>
      <c r="H81" s="89"/>
      <c r="I81" s="89"/>
    </row>
    <row r="82" spans="2:9" x14ac:dyDescent="0.2">
      <c r="B82" s="89"/>
      <c r="C82" s="89"/>
      <c r="D82" s="89"/>
      <c r="E82" s="89"/>
      <c r="F82" s="89"/>
      <c r="G82" s="89"/>
      <c r="H82" s="89"/>
      <c r="I82" s="89"/>
    </row>
  </sheetData>
  <mergeCells count="17">
    <mergeCell ref="A32:H32"/>
    <mergeCell ref="B34:H34"/>
    <mergeCell ref="K13:Q13"/>
    <mergeCell ref="K14:M14"/>
    <mergeCell ref="O14:Q14"/>
    <mergeCell ref="A1:H1"/>
    <mergeCell ref="B3:H3"/>
    <mergeCell ref="B4:D4"/>
    <mergeCell ref="F4:H4"/>
    <mergeCell ref="K56:Q56"/>
    <mergeCell ref="K57:M57"/>
    <mergeCell ref="O57:Q57"/>
    <mergeCell ref="B35:D35"/>
    <mergeCell ref="F35:H35"/>
    <mergeCell ref="B46:H46"/>
    <mergeCell ref="B47:D47"/>
    <mergeCell ref="F47:H47"/>
  </mergeCells>
  <phoneticPr fontId="2" type="noConversion"/>
  <printOptions horizontalCentered="1"/>
  <pageMargins left="0.75" right="0.75" top="1" bottom="1" header="0.5" footer="0.5"/>
  <pageSetup scale="76" orientation="portrait" r:id="rId1"/>
  <headerFooter alignWithMargins="0">
    <oddHeader xml:space="preserve">&amp;L&amp;"Arial,Regular"&amp;7bvanalen [C:\Documents and Settings\bvanalen\My Documents\Fish\Computing\SampleSize\SampleSizeDeterminations.xls]&amp;A; Last Saved 3/31/2010 11:32:38 AM; Printed &amp;D &amp;T; Page &amp;P of &amp;N&amp;10 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>
              <from>
                <xdr:col>0</xdr:col>
                <xdr:colOff>1619250</xdr:colOff>
                <xdr:row>36</xdr:row>
                <xdr:rowOff>19050</xdr:rowOff>
              </from>
              <to>
                <xdr:col>0</xdr:col>
                <xdr:colOff>2381250</xdr:colOff>
                <xdr:row>37</xdr:row>
                <xdr:rowOff>9525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40" r:id="rId6">
          <objectPr defaultSize="0" autoPict="0" r:id="rId7">
            <anchor moveWithCells="1">
              <from>
                <xdr:col>8</xdr:col>
                <xdr:colOff>66675</xdr:colOff>
                <xdr:row>1</xdr:row>
                <xdr:rowOff>28575</xdr:rowOff>
              </from>
              <to>
                <xdr:col>10</xdr:col>
                <xdr:colOff>533400</xdr:colOff>
                <xdr:row>12</xdr:row>
                <xdr:rowOff>9525</xdr:rowOff>
              </to>
            </anchor>
          </objectPr>
        </oleObject>
      </mc:Choice>
      <mc:Fallback>
        <oleObject progId="Equation.3" shapeId="1040" r:id="rId6"/>
      </mc:Fallback>
    </mc:AlternateContent>
    <mc:AlternateContent xmlns:mc="http://schemas.openxmlformats.org/markup-compatibility/2006">
      <mc:Choice Requires="x14">
        <oleObject progId="Equation.3" shapeId="1041" r:id="rId8">
          <objectPr defaultSize="0" autoPict="0" r:id="rId9">
            <anchor moveWithCells="1">
              <from>
                <xdr:col>0</xdr:col>
                <xdr:colOff>1809750</xdr:colOff>
                <xdr:row>48</xdr:row>
                <xdr:rowOff>19050</xdr:rowOff>
              </from>
              <to>
                <xdr:col>1</xdr:col>
                <xdr:colOff>171450</xdr:colOff>
                <xdr:row>49</xdr:row>
                <xdr:rowOff>9525</xdr:rowOff>
              </to>
            </anchor>
          </objectPr>
        </oleObject>
      </mc:Choice>
      <mc:Fallback>
        <oleObject progId="Equation.3" shapeId="1041" r:id="rId8"/>
      </mc:Fallback>
    </mc:AlternateContent>
    <mc:AlternateContent xmlns:mc="http://schemas.openxmlformats.org/markup-compatibility/2006">
      <mc:Choice Requires="x14">
        <oleObject progId="Equation.3" shapeId="1120" r:id="rId10">
          <objectPr defaultSize="0" autoPict="0" r:id="rId11">
            <anchor moveWithCells="1">
              <from>
                <xdr:col>11</xdr:col>
                <xdr:colOff>47625</xdr:colOff>
                <xdr:row>33</xdr:row>
                <xdr:rowOff>9525</xdr:rowOff>
              </from>
              <to>
                <xdr:col>15</xdr:col>
                <xdr:colOff>247650</xdr:colOff>
                <xdr:row>37</xdr:row>
                <xdr:rowOff>171450</xdr:rowOff>
              </to>
            </anchor>
          </objectPr>
        </oleObject>
      </mc:Choice>
      <mc:Fallback>
        <oleObject progId="Equation.3" shapeId="1120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workbookViewId="0">
      <selection activeCell="C27" sqref="C27"/>
    </sheetView>
  </sheetViews>
  <sheetFormatPr defaultRowHeight="12.75" x14ac:dyDescent="0.2"/>
  <cols>
    <col min="2" max="2" width="29.28515625" customWidth="1"/>
    <col min="3" max="3" width="12.28515625" customWidth="1"/>
    <col min="4" max="4" width="2.140625" customWidth="1"/>
    <col min="5" max="8" width="2.5703125" customWidth="1"/>
    <col min="9" max="9" width="9.5703125" customWidth="1"/>
    <col min="10" max="11" width="5" bestFit="1" customWidth="1"/>
    <col min="12" max="16" width="9.5703125" customWidth="1"/>
  </cols>
  <sheetData>
    <row r="1" spans="1:11" ht="20.25" x14ac:dyDescent="0.3">
      <c r="A1" s="1" t="s">
        <v>0</v>
      </c>
    </row>
    <row r="3" spans="1:11" ht="20.25" x14ac:dyDescent="0.35">
      <c r="B3" s="2" t="s">
        <v>1</v>
      </c>
    </row>
    <row r="5" spans="1:11" ht="15" x14ac:dyDescent="0.2">
      <c r="A5" s="3" t="s">
        <v>2</v>
      </c>
    </row>
    <row r="7" spans="1:11" ht="15.75" x14ac:dyDescent="0.3">
      <c r="A7" s="4" t="s">
        <v>3</v>
      </c>
    </row>
    <row r="8" spans="1:11" x14ac:dyDescent="0.2">
      <c r="A8" s="4"/>
    </row>
    <row r="9" spans="1:11" x14ac:dyDescent="0.2">
      <c r="A9" s="4" t="s">
        <v>4</v>
      </c>
    </row>
    <row r="10" spans="1:11" x14ac:dyDescent="0.2">
      <c r="A10" s="4"/>
    </row>
    <row r="11" spans="1:11" x14ac:dyDescent="0.2">
      <c r="A11" s="4" t="s">
        <v>5</v>
      </c>
    </row>
    <row r="13" spans="1:11" ht="15" x14ac:dyDescent="0.2">
      <c r="A13" s="5" t="s">
        <v>6</v>
      </c>
    </row>
    <row r="14" spans="1:11" x14ac:dyDescent="0.2">
      <c r="A14" s="4"/>
    </row>
    <row r="15" spans="1:11" ht="25.5" x14ac:dyDescent="0.2">
      <c r="A15" s="4" t="s">
        <v>7</v>
      </c>
      <c r="C15" s="6" t="s">
        <v>8</v>
      </c>
      <c r="E15" s="7" t="s">
        <v>9</v>
      </c>
      <c r="F15" s="8"/>
      <c r="G15" s="8"/>
      <c r="H15" s="8"/>
      <c r="J15" s="9" t="s">
        <v>49</v>
      </c>
      <c r="K15" s="9" t="s">
        <v>10</v>
      </c>
    </row>
    <row r="16" spans="1:11" ht="15.75" x14ac:dyDescent="0.3">
      <c r="A16" s="6" t="s">
        <v>11</v>
      </c>
      <c r="C16" s="10">
        <v>1.96</v>
      </c>
      <c r="D16" s="11"/>
      <c r="E16" s="12" t="s">
        <v>12</v>
      </c>
      <c r="F16" s="12" t="s">
        <v>12</v>
      </c>
      <c r="G16" s="12" t="s">
        <v>12</v>
      </c>
      <c r="H16" s="12" t="s">
        <v>12</v>
      </c>
      <c r="J16">
        <v>1.96</v>
      </c>
      <c r="K16">
        <v>1.96</v>
      </c>
    </row>
    <row r="17" spans="1:11" x14ac:dyDescent="0.2">
      <c r="A17" s="6" t="s">
        <v>13</v>
      </c>
      <c r="C17" s="10">
        <v>5</v>
      </c>
      <c r="D17" s="11" t="s">
        <v>14</v>
      </c>
      <c r="E17" s="12" t="s">
        <v>12</v>
      </c>
      <c r="F17" s="12" t="s">
        <v>12</v>
      </c>
      <c r="G17" s="12" t="s">
        <v>12</v>
      </c>
      <c r="H17" s="12" t="s">
        <v>12</v>
      </c>
      <c r="J17">
        <v>5</v>
      </c>
      <c r="K17">
        <v>5</v>
      </c>
    </row>
    <row r="18" spans="1:11" x14ac:dyDescent="0.2">
      <c r="A18" s="6" t="s">
        <v>15</v>
      </c>
      <c r="C18" s="10"/>
      <c r="D18" s="11" t="s">
        <v>14</v>
      </c>
      <c r="E18" s="12" t="s">
        <v>12</v>
      </c>
      <c r="F18" s="12"/>
      <c r="G18" s="12"/>
      <c r="H18" s="12"/>
      <c r="J18">
        <v>19</v>
      </c>
    </row>
    <row r="19" spans="1:11" ht="15.75" x14ac:dyDescent="0.3">
      <c r="A19" s="6" t="s">
        <v>16</v>
      </c>
      <c r="B19" s="13" t="s">
        <v>17</v>
      </c>
      <c r="C19" s="10">
        <v>3.1</v>
      </c>
      <c r="D19" s="11"/>
      <c r="E19" s="12"/>
      <c r="F19" s="12" t="s">
        <v>12</v>
      </c>
      <c r="G19" s="12" t="s">
        <v>12</v>
      </c>
      <c r="H19" s="12" t="s">
        <v>12</v>
      </c>
      <c r="K19">
        <v>3.1</v>
      </c>
    </row>
    <row r="20" spans="1:11" ht="14.25" x14ac:dyDescent="0.2">
      <c r="A20" s="6" t="s">
        <v>18</v>
      </c>
      <c r="B20" s="13" t="s">
        <v>19</v>
      </c>
      <c r="C20" s="10"/>
      <c r="D20" s="11"/>
      <c r="E20" s="12"/>
      <c r="F20" s="12" t="s">
        <v>12</v>
      </c>
      <c r="G20" s="12"/>
      <c r="H20" s="12"/>
    </row>
    <row r="21" spans="1:11" ht="14.25" x14ac:dyDescent="0.2">
      <c r="A21" s="6" t="s">
        <v>20</v>
      </c>
      <c r="B21" s="13" t="s">
        <v>21</v>
      </c>
      <c r="C21" s="10"/>
      <c r="D21" s="11"/>
      <c r="E21" s="12"/>
      <c r="F21" s="12"/>
      <c r="G21" s="12" t="s">
        <v>12</v>
      </c>
      <c r="H21" s="12"/>
    </row>
    <row r="22" spans="1:11" x14ac:dyDescent="0.2">
      <c r="A22" s="6" t="s">
        <v>22</v>
      </c>
      <c r="B22" s="13" t="s">
        <v>23</v>
      </c>
      <c r="C22" s="10">
        <v>10</v>
      </c>
      <c r="D22" s="11"/>
      <c r="E22" s="12"/>
      <c r="F22" s="12"/>
      <c r="G22" s="12"/>
      <c r="H22" s="12" t="s">
        <v>12</v>
      </c>
      <c r="K22">
        <v>10</v>
      </c>
    </row>
    <row r="23" spans="1:11" x14ac:dyDescent="0.2">
      <c r="A23" s="6" t="s">
        <v>24</v>
      </c>
      <c r="B23" s="13" t="s">
        <v>25</v>
      </c>
      <c r="C23" s="10">
        <v>0.189</v>
      </c>
      <c r="D23" s="11"/>
      <c r="E23" s="12"/>
      <c r="F23" s="12"/>
      <c r="G23" s="12"/>
      <c r="H23" s="12" t="s">
        <v>12</v>
      </c>
      <c r="K23">
        <v>0.18941430193567202</v>
      </c>
    </row>
    <row r="24" spans="1:11" x14ac:dyDescent="0.2">
      <c r="A24" s="6" t="s">
        <v>20</v>
      </c>
      <c r="B24" s="13" t="s">
        <v>26</v>
      </c>
      <c r="C24" s="11"/>
      <c r="D24" s="11"/>
    </row>
    <row r="25" spans="1:11" ht="15.75" x14ac:dyDescent="0.3">
      <c r="A25" s="6" t="s">
        <v>15</v>
      </c>
      <c r="B25" s="13" t="s">
        <v>27</v>
      </c>
      <c r="C25" s="11"/>
      <c r="D25" s="11"/>
    </row>
    <row r="26" spans="1:11" x14ac:dyDescent="0.2">
      <c r="C26" s="14">
        <f>ROUNDUP(IF(C18&lt;&gt;"",C16^2*C18^2/C17^2,IF(AND(C19&lt;&gt;"",C21&lt;&gt;""),C16^2*((C21/C19)*100)^2/C17^2,IF(AND(C19&lt;&gt;"",C20&lt;&gt;""),C16^2*((SQRT(C20)/C19)*100)^2/C17^2,IF(AND(C22&lt;&gt;"",C19&lt;&gt;"",C23&lt;&gt;""),C16^2*(((C23*SQRT(C22))/C19)*100)^2/C17^2)))),0)</f>
        <v>58</v>
      </c>
      <c r="D26" s="14"/>
    </row>
    <row r="27" spans="1:11" x14ac:dyDescent="0.2">
      <c r="B27" s="15" t="str">
        <f>"Sample size needed for a +/-"&amp;C17&amp;"% CV ="</f>
        <v>Sample size needed for a +/-5% CV =</v>
      </c>
      <c r="C27" s="16">
        <f>IF(OR(ISERROR(C26),C26=0),"check entries",C26)</f>
        <v>58</v>
      </c>
      <c r="D27" s="11"/>
    </row>
    <row r="28" spans="1:11" x14ac:dyDescent="0.2">
      <c r="C28" s="11"/>
      <c r="D28" s="11"/>
    </row>
    <row r="29" spans="1:11" ht="15" x14ac:dyDescent="0.2">
      <c r="A29" s="3" t="s">
        <v>50</v>
      </c>
      <c r="C29" s="11"/>
      <c r="D29" s="11"/>
    </row>
    <row r="30" spans="1:11" x14ac:dyDescent="0.2">
      <c r="A30" s="18" t="s">
        <v>28</v>
      </c>
      <c r="B30" t="s">
        <v>51</v>
      </c>
      <c r="C30" s="11"/>
      <c r="D30" s="11"/>
    </row>
    <row r="31" spans="1:11" x14ac:dyDescent="0.2">
      <c r="C31" s="11"/>
      <c r="D31" s="11"/>
    </row>
    <row r="32" spans="1:11" ht="15" x14ac:dyDescent="0.2">
      <c r="A32" s="17" t="s">
        <v>52</v>
      </c>
    </row>
    <row r="33" spans="1:2" x14ac:dyDescent="0.2">
      <c r="A33" s="18" t="s">
        <v>30</v>
      </c>
      <c r="B33" t="s">
        <v>48</v>
      </c>
    </row>
    <row r="34" spans="1:2" x14ac:dyDescent="0.2">
      <c r="B34" s="19" t="s">
        <v>29</v>
      </c>
    </row>
    <row r="35" spans="1:2" x14ac:dyDescent="0.2">
      <c r="A35" s="18" t="s">
        <v>34</v>
      </c>
      <c r="B35" t="s">
        <v>35</v>
      </c>
    </row>
    <row r="36" spans="1:2" x14ac:dyDescent="0.2">
      <c r="B36" s="19" t="s">
        <v>36</v>
      </c>
    </row>
    <row r="37" spans="1:2" x14ac:dyDescent="0.2">
      <c r="A37" s="18" t="s">
        <v>53</v>
      </c>
      <c r="B37" t="s">
        <v>31</v>
      </c>
    </row>
    <row r="38" spans="1:2" x14ac:dyDescent="0.2">
      <c r="B38" t="s">
        <v>32</v>
      </c>
    </row>
    <row r="39" spans="1:2" x14ac:dyDescent="0.2">
      <c r="B39" s="19" t="s">
        <v>33</v>
      </c>
    </row>
  </sheetData>
  <phoneticPr fontId="2" type="noConversion"/>
  <hyperlinks>
    <hyperlink ref="B34" r:id="rId1"/>
    <hyperlink ref="B39" r:id="rId2"/>
    <hyperlink ref="B36" r:id="rId3"/>
  </hyperlinks>
  <printOptions horizontalCentered="1"/>
  <pageMargins left="0.75" right="0.75" top="1" bottom="1" header="0.5" footer="0.5"/>
  <pageSetup scale="97" orientation="portrait" r:id="rId4"/>
  <headerFooter alignWithMargins="0">
    <oddHeader xml:space="preserve">&amp;L&amp;"Arial,Regular"&amp;7bvanalen [C:\Documents and Settings\bvanalen\My Documents\Fish\Computing\SampleSize\SampleSizeDeterminations.xls]&amp;A; Last Saved 3/31/2010 11:32:38 AM; Printed &amp;D &amp;T; Page &amp;P of &amp;N&amp;10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(i.e. proportions)</vt:lpstr>
      <vt:lpstr>Continuous (i.e. means)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BenVanAlen</dc:creator>
  <cp:lastModifiedBy>Heinl, Steve (DFG)</cp:lastModifiedBy>
  <cp:lastPrinted>2008-11-25T22:33:44Z</cp:lastPrinted>
  <dcterms:created xsi:type="dcterms:W3CDTF">2008-11-22T02:10:54Z</dcterms:created>
  <dcterms:modified xsi:type="dcterms:W3CDTF">2019-02-06T20:32:34Z</dcterms:modified>
</cp:coreProperties>
</file>